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участники" sheetId="1" r:id="rId1"/>
    <sheet name="Карточка" sheetId="2" r:id="rId2"/>
  </sheets>
  <definedNames>
    <definedName name="_xlnm._FilterDatabase" localSheetId="0" hidden="1">'участники'!$A$101:$M$193</definedName>
    <definedName name="_xlnm.Print_Titles" localSheetId="0">'участники'!$101:$101</definedName>
    <definedName name="_xlnm.Print_Area" localSheetId="1">'Карточка'!$A$7:$P$416</definedName>
  </definedNames>
  <calcPr fullCalcOnLoad="1"/>
</workbook>
</file>

<file path=xl/sharedStrings.xml><?xml version="1.0" encoding="utf-8"?>
<sst xmlns="http://schemas.openxmlformats.org/spreadsheetml/2006/main" count="725" uniqueCount="181">
  <si>
    <t>СФО</t>
  </si>
  <si>
    <t>ДВФО</t>
  </si>
  <si>
    <t>СЗФО</t>
  </si>
  <si>
    <t>ЮФО</t>
  </si>
  <si>
    <t>ЦФО</t>
  </si>
  <si>
    <t>ВОРОНЕЖСКАЯ ОБЛ.</t>
  </si>
  <si>
    <t>ЕВРЕЙСКАЯ АО</t>
  </si>
  <si>
    <t>ЗАБАЙКАЛЬСКИЙ КР.</t>
  </si>
  <si>
    <t>ИВАНОВСКАЯ ОБЛ.</t>
  </si>
  <si>
    <t>400СБ</t>
  </si>
  <si>
    <t>ИРКУТСКАЯ ОБЛ.</t>
  </si>
  <si>
    <t>2000СП</t>
  </si>
  <si>
    <t>КАБАРДИНО-БАЛКАРСКАЯ  РЕСП.</t>
  </si>
  <si>
    <t>3000СП</t>
  </si>
  <si>
    <t>КАЛИНИНГРАДСКАЯ ОБЛ.</t>
  </si>
  <si>
    <t>КАЛУЖСКАЯ ОБЛ.</t>
  </si>
  <si>
    <t>КАМЧАТСКАЯ ОБЛ.</t>
  </si>
  <si>
    <t>КАРАЧАЕВО-ЧЕРКЕССКАЯ  РЕСП.</t>
  </si>
  <si>
    <t>КЕМЕРОВСКАЯ ОБЛ.</t>
  </si>
  <si>
    <t>КИРОВСКАЯ ОБЛ.</t>
  </si>
  <si>
    <t>ПФО</t>
  </si>
  <si>
    <t>ВЫСОТА</t>
  </si>
  <si>
    <t>КОСТРОМСКАЯ ОБЛ.</t>
  </si>
  <si>
    <t>ШЕСТ</t>
  </si>
  <si>
    <t>КРАСНОДАРСКИЙ КР.</t>
  </si>
  <si>
    <t>ДЛИНА</t>
  </si>
  <si>
    <t>КРАСНОЯРСКИЙ КР.</t>
  </si>
  <si>
    <t>ТРОЙНОЙ</t>
  </si>
  <si>
    <t>КУРГАНСКАЯ ОБЛ.</t>
  </si>
  <si>
    <t>УФО</t>
  </si>
  <si>
    <t>ДИСК</t>
  </si>
  <si>
    <t>КУРСКАЯ ОБЛ.</t>
  </si>
  <si>
    <t>МОЛОТ</t>
  </si>
  <si>
    <t>ЛЕНИНГРАДСКАЯ ОБЛ.</t>
  </si>
  <si>
    <t>КОПЬЕ</t>
  </si>
  <si>
    <t>ЛИПЕЦКАЯ ОБЛ.</t>
  </si>
  <si>
    <t>ЯДРО</t>
  </si>
  <si>
    <t>МАГАДАНСКАЯ ОБЛ.</t>
  </si>
  <si>
    <t>6БОРЬЕ</t>
  </si>
  <si>
    <t>МОСКВА-1</t>
  </si>
  <si>
    <t>МОС</t>
  </si>
  <si>
    <t>8БОРЬЕ</t>
  </si>
  <si>
    <t>МОСКВА-2</t>
  </si>
  <si>
    <t>10БОРЬЕ</t>
  </si>
  <si>
    <t>МОСКОВСКАЯ ОБЛ.</t>
  </si>
  <si>
    <t>МУРМАНСКАЯ ОБЛ.</t>
  </si>
  <si>
    <t>НЕНЕЦКИЙ АО</t>
  </si>
  <si>
    <t>НИЖЕГОРОДСКАЯ ОБЛ.</t>
  </si>
  <si>
    <t>НОВГОРОДСКАЯ ОБЛ.</t>
  </si>
  <si>
    <t>НОВОСИБИРСКАЯ ОБЛ.</t>
  </si>
  <si>
    <t>ОМСКАЯ ОБЛ.</t>
  </si>
  <si>
    <t>ОРЕНБУРГСКАЯ ОБЛ.</t>
  </si>
  <si>
    <t>ОРЛОВСКАЯ ОБЛ.</t>
  </si>
  <si>
    <t>ПЕНЗЕНСКАЯ ОБЛ.</t>
  </si>
  <si>
    <t>ПЕРМСКИЙ КР.</t>
  </si>
  <si>
    <t>ПРИМОРСКИЙ КР.</t>
  </si>
  <si>
    <t>ПСКОВСКАЯ ОБЛ.</t>
  </si>
  <si>
    <t>РЕСП. АДЫГЕЯ</t>
  </si>
  <si>
    <t>РЕСП. АЛТАЙ</t>
  </si>
  <si>
    <t>РЕСП. БАШКОРТОСТАН</t>
  </si>
  <si>
    <t>РЕСП. БУРЯТИЯ</t>
  </si>
  <si>
    <t>РЕСП. ДАГЕСТАН</t>
  </si>
  <si>
    <t>РЕСП. ИНГУШЕТИЯ</t>
  </si>
  <si>
    <t>РЕСП. КАЛМЫКИЯ</t>
  </si>
  <si>
    <t>РЕСП. КАРЕЛИЯ</t>
  </si>
  <si>
    <t>РЕСП. КОМИ</t>
  </si>
  <si>
    <t>РЕСП. МАРИЙ ЭЛ</t>
  </si>
  <si>
    <t>РЕСП. МОРДОВИЯ</t>
  </si>
  <si>
    <t>РЕСП. САХА (ЯКУТИЯ)</t>
  </si>
  <si>
    <t>РЕСП. СЕВЕРНАЯ ОСЕТИЯ – АЛАНИЯ</t>
  </si>
  <si>
    <t>РЕСП. ТАТАРСТАН</t>
  </si>
  <si>
    <t>РЕСП. ТУВА</t>
  </si>
  <si>
    <t>РЕСП. ХАКАСИЯ</t>
  </si>
  <si>
    <t>РОСТОВСКАЯ ОБЛ.</t>
  </si>
  <si>
    <t>РЯЗАНСКАЯ ОБЛ.</t>
  </si>
  <si>
    <t>САМАРСКАЯ ОБЛ.</t>
  </si>
  <si>
    <t>САНКТ-ПЕТЕРБУРГ-1</t>
  </si>
  <si>
    <t>САНКТ-ПЕТЕРБУРГ-2</t>
  </si>
  <si>
    <t>САРАТОВСКАЯ ОБЛ.</t>
  </si>
  <si>
    <t>САХАЛИНСКАЯ ОБЛ.</t>
  </si>
  <si>
    <t>СВЕРДЛОВСКАЯ ОБЛ.</t>
  </si>
  <si>
    <t>СМОЛЕНСКАЯ ОБЛ.</t>
  </si>
  <si>
    <t>СТАВРОПОЛЬСКИЙ КР.</t>
  </si>
  <si>
    <t>ТАМБОВСКАЯ ОБЛ.</t>
  </si>
  <si>
    <t>ТВЕРСКАЯ ОБЛ.</t>
  </si>
  <si>
    <t>ТОМСКАЯ ОБЛ.</t>
  </si>
  <si>
    <t>ТУЛЬСКАЯ ОБЛ.</t>
  </si>
  <si>
    <t>ТЮМЕНСКАЯ ОБЛ.</t>
  </si>
  <si>
    <t>УДМУРТСКАЯ РЕСП.</t>
  </si>
  <si>
    <t>УЛЬЯНОВСКАЯ ОБЛ.</t>
  </si>
  <si>
    <t>ХАБАРОВСКИЙ КР.</t>
  </si>
  <si>
    <t>ХАНТЫ-МАНСИЙСКИЙ АО</t>
  </si>
  <si>
    <t>ЧЕЛЯБИНСКАЯ ОБЛ.</t>
  </si>
  <si>
    <t>ЧЕЧЕНСКАЯ РЕСП.</t>
  </si>
  <si>
    <t>ЧУВАШСКАЯ РЕСП.</t>
  </si>
  <si>
    <t>ЧУКОТСКИЙ АО</t>
  </si>
  <si>
    <t>ЯМАЛО-НЕНЕЦКИЙ АО</t>
  </si>
  <si>
    <t>ЯРОСЛАВСКАЯ ОБЛ.</t>
  </si>
  <si>
    <t>МОСКВА</t>
  </si>
  <si>
    <t>САНКТ-ПЕТЕРБУРГ</t>
  </si>
  <si>
    <t>СПБ</t>
  </si>
  <si>
    <t>ВИД</t>
  </si>
  <si>
    <t>КВАЛ.</t>
  </si>
  <si>
    <t xml:space="preserve"> КОМАНДА</t>
  </si>
  <si>
    <t>ТРЕНЕР</t>
  </si>
  <si>
    <t>ДАТА РОЖД.</t>
  </si>
  <si>
    <t>ВЕДОМСТВО,  ДСО</t>
  </si>
  <si>
    <t>4Х100</t>
  </si>
  <si>
    <t>4Х200</t>
  </si>
  <si>
    <t>4Х400</t>
  </si>
  <si>
    <t xml:space="preserve"> ПАРАЛЛ. ЗАЧЕТ</t>
  </si>
  <si>
    <t>ЛИЧН.
РЕК.</t>
  </si>
  <si>
    <t>ФАМИЛИЯ, ИМЯ</t>
  </si>
  <si>
    <t>ОРГАНИЗАЦИЯ</t>
  </si>
  <si>
    <t>Номер
▼ ▼</t>
  </si>
  <si>
    <t>Зач</t>
  </si>
  <si>
    <t>РЕСП. КРЫМ</t>
  </si>
  <si>
    <t>СЕВАСТОПОЛЬ</t>
  </si>
  <si>
    <t>7БОРЬЕ</t>
  </si>
  <si>
    <t>ЛУЧШ.
СЕЗОН.</t>
  </si>
  <si>
    <t>Печать личной карточки участника соревнований</t>
  </si>
  <si>
    <t>Выберите меню "Файл" -&gt; "Печать" и укажите диапазон страниц для печати</t>
  </si>
  <si>
    <t>Индекс
команды:</t>
  </si>
  <si>
    <t>Зачет:</t>
  </si>
  <si>
    <t>Вид программы</t>
  </si>
  <si>
    <t>Возрастная группа</t>
  </si>
  <si>
    <t>Номер участ.</t>
  </si>
  <si>
    <t>Фамилия Имя участника</t>
  </si>
  <si>
    <t>Дата рожд.</t>
  </si>
  <si>
    <t>Квалиф.</t>
  </si>
  <si>
    <t>Субъект РФ,  команда</t>
  </si>
  <si>
    <t>Ведомство, ДСО</t>
  </si>
  <si>
    <t>Параллельный зачет</t>
  </si>
  <si>
    <t>Организация</t>
  </si>
  <si>
    <t>Фамилия Имя Отчество тренера (ов)</t>
  </si>
  <si>
    <t>Личн. рекорд</t>
  </si>
  <si>
    <t>Лучш. сезона</t>
  </si>
  <si>
    <t>Соревнования</t>
  </si>
  <si>
    <t>Результаты</t>
  </si>
  <si>
    <t>Лучший рез.</t>
  </si>
  <si>
    <t>Разряд</t>
  </si>
  <si>
    <t>Место</t>
  </si>
  <si>
    <t>Очки</t>
  </si>
  <si>
    <t>Квалиф. (забеги)</t>
  </si>
  <si>
    <t>Основные (п/финал)</t>
  </si>
  <si>
    <t>Финал</t>
  </si>
  <si>
    <r>
      <t>Введите начало диапазона печати</t>
    </r>
    <r>
      <rPr>
        <sz val="12"/>
        <rFont val="Century Gothic"/>
        <family val="2"/>
      </rPr>
      <t xml:space="preserve"> (число от 101 до 991):</t>
    </r>
  </si>
  <si>
    <t>Всего страниц - ДЕСЯТЬ.На каждой странице расположено по две карточки</t>
  </si>
  <si>
    <t>60сб</t>
  </si>
  <si>
    <t>СЕРДОБСКИЙ</t>
  </si>
  <si>
    <t xml:space="preserve">БЕССОНОВСКИЙ </t>
  </si>
  <si>
    <t>БАШМАКОВО</t>
  </si>
  <si>
    <t>БЕЛИНСКИЙ</t>
  </si>
  <si>
    <t>КОЛЫШЛЕЙСКИЙ</t>
  </si>
  <si>
    <t>НИЖНЕЛОМОВСКИЙ</t>
  </si>
  <si>
    <t>Кузнецкий</t>
  </si>
  <si>
    <t xml:space="preserve">Платонова Настя </t>
  </si>
  <si>
    <t xml:space="preserve">Желтенкова Виолетта </t>
  </si>
  <si>
    <t>2003</t>
  </si>
  <si>
    <t xml:space="preserve">Уланова Маргарита </t>
  </si>
  <si>
    <t>2000</t>
  </si>
  <si>
    <t xml:space="preserve">Старая Каменка </t>
  </si>
  <si>
    <t>Андреев В.В. Кузнецов В.Б.</t>
  </si>
  <si>
    <t>Андреев В.В. Кузнецов В.Б</t>
  </si>
  <si>
    <t>8.2</t>
  </si>
  <si>
    <t>Валялкина Елизавета</t>
  </si>
  <si>
    <t>1.13.2</t>
  </si>
  <si>
    <t xml:space="preserve">Греднева Настя </t>
  </si>
  <si>
    <t>Варыпаево</t>
  </si>
  <si>
    <t>Греднев Р.В.</t>
  </si>
  <si>
    <t xml:space="preserve">5.13 </t>
  </si>
  <si>
    <t>5.13</t>
  </si>
  <si>
    <t>8.0</t>
  </si>
  <si>
    <t>4.59</t>
  </si>
  <si>
    <t>5.03</t>
  </si>
  <si>
    <t xml:space="preserve">ТЕХЗАЯВКА  ПО ЛЕГКОЙ АТЛЕТИКЕ СТАРАЯ КАМЕНКА  </t>
  </si>
  <si>
    <t>1.05.6</t>
  </si>
  <si>
    <t>1.05.6.2</t>
  </si>
  <si>
    <t>1.09,0</t>
  </si>
  <si>
    <t>1.09.0</t>
  </si>
  <si>
    <t>ОБРАЗЕЦ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</si>
</sst>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3">
    <font>
      <sz val="10"/>
      <name val="Arial Cyr"/>
      <family val="0"/>
    </font>
    <font>
      <b/>
      <sz val="9"/>
      <name val="Arial"/>
      <family val="2"/>
    </font>
    <font>
      <sz val="9"/>
      <name val="Arial Cyr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9"/>
      <color indexed="62"/>
      <name val="Arial Narrow"/>
      <family val="2"/>
    </font>
    <font>
      <sz val="9"/>
      <color indexed="55"/>
      <name val="Arial Narrow"/>
      <family val="2"/>
    </font>
    <font>
      <b/>
      <sz val="10"/>
      <name val="Arial"/>
      <family val="2"/>
    </font>
    <font>
      <sz val="9"/>
      <color indexed="23"/>
      <name val="Arial Narrow"/>
      <family val="2"/>
    </font>
    <font>
      <b/>
      <sz val="9"/>
      <color indexed="10"/>
      <name val="Arial Cyr"/>
      <family val="0"/>
    </font>
    <font>
      <b/>
      <u val="single"/>
      <sz val="9"/>
      <name val="Arial Cyr"/>
      <family val="0"/>
    </font>
    <font>
      <sz val="9"/>
      <color indexed="8"/>
      <name val="Arial"/>
      <family val="2"/>
    </font>
    <font>
      <b/>
      <sz val="23"/>
      <color indexed="62"/>
      <name val="Arial Narrow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b/>
      <sz val="12"/>
      <color indexed="9"/>
      <name val="Arial Cyr"/>
      <family val="0"/>
    </font>
    <font>
      <sz val="12"/>
      <name val="Arial Cyr"/>
      <family val="0"/>
    </font>
    <font>
      <sz val="10"/>
      <color indexed="23"/>
      <name val="Arial Cyr"/>
      <family val="0"/>
    </font>
    <font>
      <sz val="10"/>
      <color indexed="9"/>
      <name val="Arial Cyr"/>
      <family val="0"/>
    </font>
    <font>
      <sz val="14"/>
      <name val="Arial Cyr"/>
      <family val="0"/>
    </font>
    <font>
      <sz val="8"/>
      <color indexed="9"/>
      <name val="Arial Narrow"/>
      <family val="2"/>
    </font>
    <font>
      <sz val="12"/>
      <name val="Arial Narrow"/>
      <family val="2"/>
    </font>
    <font>
      <b/>
      <sz val="2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8"/>
      <name val="Arial"/>
      <family val="2"/>
    </font>
    <font>
      <sz val="8.5"/>
      <name val="Arial Narrow"/>
      <family val="2"/>
    </font>
    <font>
      <b/>
      <sz val="8.5"/>
      <name val="Arial"/>
      <family val="2"/>
    </font>
    <font>
      <sz val="8.5"/>
      <name val="Arial"/>
      <family val="2"/>
    </font>
    <font>
      <b/>
      <sz val="18"/>
      <name val="Arial Narrow"/>
      <family val="2"/>
    </font>
    <font>
      <b/>
      <sz val="18"/>
      <name val="Arial Cyr"/>
      <family val="0"/>
    </font>
    <font>
      <b/>
      <sz val="14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0.5"/>
      <name val="Arial Narrow"/>
      <family val="2"/>
    </font>
    <font>
      <b/>
      <sz val="10.5"/>
      <name val="Arial Cyr"/>
      <family val="0"/>
    </font>
    <font>
      <b/>
      <sz val="7"/>
      <name val="Arial"/>
      <family val="2"/>
    </font>
    <font>
      <sz val="14"/>
      <color indexed="8"/>
      <name val="Arial Cyr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6"/>
        <bgColor indexed="42"/>
      </patternFill>
    </fill>
    <fill>
      <patternFill patternType="solid">
        <fgColor indexed="9"/>
        <bgColor indexed="64"/>
      </patternFill>
    </fill>
    <fill>
      <patternFill patternType="lightUp">
        <fgColor indexed="43"/>
        <bgColor indexed="42"/>
      </patternFill>
    </fill>
    <fill>
      <patternFill patternType="lightUp">
        <fgColor indexed="43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2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17"/>
      </left>
      <right style="hair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 style="medium">
        <color indexed="17"/>
      </top>
      <bottom>
        <color indexed="63"/>
      </bottom>
    </border>
    <border>
      <left style="hair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9"/>
      </left>
      <right>
        <color indexed="63"/>
      </right>
      <top style="dotted">
        <color indexed="29"/>
      </top>
      <bottom style="dotted">
        <color indexed="29"/>
      </bottom>
    </border>
    <border>
      <left>
        <color indexed="63"/>
      </left>
      <right style="dotted">
        <color indexed="29"/>
      </right>
      <top style="dotted">
        <color indexed="2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 hidden="1" locked="0"/>
    </xf>
    <xf numFmtId="0" fontId="5" fillId="33" borderId="0" xfId="0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 applyProtection="1">
      <alignment vertical="top"/>
      <protection locked="0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8" fillId="34" borderId="10" xfId="0" applyNumberFormat="1" applyFont="1" applyFill="1" applyBorder="1" applyAlignment="1" applyProtection="1">
      <alignment horizontal="center" vertical="top"/>
      <protection locked="0"/>
    </xf>
    <xf numFmtId="49" fontId="8" fillId="34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5" borderId="12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Border="1" applyAlignment="1" applyProtection="1">
      <alignment horizontal="right" vertical="top"/>
      <protection locked="0"/>
    </xf>
    <xf numFmtId="0" fontId="3" fillId="36" borderId="0" xfId="0" applyNumberFormat="1" applyFont="1" applyFill="1" applyBorder="1" applyAlignment="1" applyProtection="1">
      <alignment horizontal="right" vertical="top"/>
      <protection/>
    </xf>
    <xf numFmtId="0" fontId="8" fillId="34" borderId="11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49" fontId="5" fillId="36" borderId="0" xfId="0" applyNumberFormat="1" applyFont="1" applyFill="1" applyBorder="1" applyAlignment="1" applyProtection="1">
      <alignment horizontal="center" vertical="top"/>
      <protection/>
    </xf>
    <xf numFmtId="49" fontId="5" fillId="3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NumberFormat="1" applyFont="1" applyFill="1" applyBorder="1" applyAlignment="1" applyProtection="1">
      <alignment horizontal="right" vertical="top"/>
      <protection locked="0"/>
    </xf>
    <xf numFmtId="0" fontId="14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/>
    </xf>
    <xf numFmtId="0" fontId="6" fillId="37" borderId="0" xfId="0" applyFont="1" applyFill="1" applyBorder="1" applyAlignment="1" applyProtection="1">
      <alignment vertical="top"/>
      <protection locked="0"/>
    </xf>
    <xf numFmtId="49" fontId="11" fillId="36" borderId="14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horizontal="center"/>
    </xf>
    <xf numFmtId="0" fontId="5" fillId="37" borderId="0" xfId="0" applyFont="1" applyFill="1" applyBorder="1" applyAlignment="1" applyProtection="1">
      <alignment vertical="top"/>
      <protection locked="0"/>
    </xf>
    <xf numFmtId="0" fontId="5" fillId="37" borderId="0" xfId="0" applyFont="1" applyFill="1" applyBorder="1" applyAlignment="1" applyProtection="1">
      <alignment vertical="top"/>
      <protection locked="0"/>
    </xf>
    <xf numFmtId="0" fontId="2" fillId="35" borderId="12" xfId="0" applyNumberFormat="1" applyFont="1" applyFill="1" applyBorder="1" applyAlignment="1" applyProtection="1">
      <alignment vertical="top" wrapText="1"/>
      <protection hidden="1"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5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3" fillId="35" borderId="12" xfId="0" applyNumberFormat="1" applyFont="1" applyFill="1" applyBorder="1" applyAlignment="1" applyProtection="1">
      <alignment vertical="top" wrapText="1"/>
      <protection hidden="1" locked="0"/>
    </xf>
    <xf numFmtId="0" fontId="5" fillId="0" borderId="12" xfId="0" applyNumberFormat="1" applyFont="1" applyBorder="1" applyAlignment="1" applyProtection="1">
      <alignment horizontal="center" vertical="top" wrapText="1"/>
      <protection hidden="1" locked="0"/>
    </xf>
    <xf numFmtId="0" fontId="2" fillId="36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36" borderId="0" xfId="0" applyNumberFormat="1" applyFont="1" applyFill="1" applyBorder="1" applyAlignment="1" applyProtection="1">
      <alignment horizontal="left" vertical="top" wrapText="1"/>
      <protection locked="0"/>
    </xf>
    <xf numFmtId="0" fontId="3" fillId="37" borderId="10" xfId="0" applyNumberFormat="1" applyFont="1" applyFill="1" applyBorder="1" applyAlignment="1" applyProtection="1">
      <alignment horizontal="left" vertical="top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1" fillId="0" borderId="0" xfId="0" applyNumberFormat="1" applyFont="1" applyBorder="1" applyAlignment="1" applyProtection="1">
      <alignment horizontal="center" vertical="top"/>
      <protection locked="0"/>
    </xf>
    <xf numFmtId="0" fontId="9" fillId="36" borderId="0" xfId="0" applyNumberFormat="1" applyFont="1" applyFill="1" applyAlignment="1" applyProtection="1">
      <alignment horizontal="left" vertical="center"/>
      <protection/>
    </xf>
    <xf numFmtId="0" fontId="1" fillId="37" borderId="10" xfId="0" applyNumberFormat="1" applyFont="1" applyFill="1" applyBorder="1" applyAlignment="1" applyProtection="1">
      <alignment horizontal="center" vertical="top"/>
      <protection locked="0"/>
    </xf>
    <xf numFmtId="0" fontId="1" fillId="3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Border="1" applyAlignment="1" applyProtection="1">
      <alignment vertical="top" wrapText="1"/>
      <protection locked="0"/>
    </xf>
    <xf numFmtId="0" fontId="5" fillId="34" borderId="10" xfId="0" applyNumberFormat="1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9" fillId="36" borderId="0" xfId="0" applyNumberFormat="1" applyFont="1" applyFill="1" applyAlignment="1" applyProtection="1">
      <alignment horizontal="center" vertical="center"/>
      <protection/>
    </xf>
    <xf numFmtId="49" fontId="14" fillId="37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0" fillId="0" borderId="18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30" fillId="0" borderId="2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19" xfId="0" applyFont="1" applyBorder="1" applyAlignment="1" applyProtection="1">
      <alignment/>
      <protection hidden="1"/>
    </xf>
    <xf numFmtId="0" fontId="30" fillId="33" borderId="0" xfId="0" applyFont="1" applyFill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8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0" borderId="19" xfId="0" applyFont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0" fontId="5" fillId="0" borderId="21" xfId="0" applyFont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/>
      <protection hidden="1"/>
    </xf>
    <xf numFmtId="0" fontId="30" fillId="0" borderId="22" xfId="0" applyFont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hidden="1"/>
    </xf>
    <xf numFmtId="0" fontId="30" fillId="0" borderId="23" xfId="0" applyFont="1" applyBorder="1" applyAlignment="1" applyProtection="1">
      <alignment/>
      <protection hidden="1"/>
    </xf>
    <xf numFmtId="0" fontId="30" fillId="0" borderId="12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0" fontId="30" fillId="0" borderId="25" xfId="0" applyFont="1" applyBorder="1" applyAlignment="1" applyProtection="1">
      <alignment/>
      <protection hidden="1"/>
    </xf>
    <xf numFmtId="0" fontId="30" fillId="0" borderId="26" xfId="0" applyFont="1" applyBorder="1" applyAlignment="1" applyProtection="1">
      <alignment/>
      <protection hidden="1"/>
    </xf>
    <xf numFmtId="0" fontId="30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5" fillId="37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49" fontId="35" fillId="0" borderId="0" xfId="0" applyNumberFormat="1" applyFont="1" applyBorder="1" applyAlignment="1" applyProtection="1">
      <alignment horizontal="left" vertical="top" wrapText="1"/>
      <protection locked="0"/>
    </xf>
    <xf numFmtId="49" fontId="35" fillId="36" borderId="0" xfId="0" applyNumberFormat="1" applyFont="1" applyFill="1" applyBorder="1" applyAlignment="1" applyProtection="1">
      <alignment horizontal="left" vertical="top" wrapText="1"/>
      <protection/>
    </xf>
    <xf numFmtId="0" fontId="37" fillId="37" borderId="10" xfId="0" applyFont="1" applyFill="1" applyBorder="1" applyAlignment="1">
      <alignment horizontal="left" vertical="top" wrapText="1"/>
    </xf>
    <xf numFmtId="49" fontId="35" fillId="34" borderId="10" xfId="0" applyNumberFormat="1" applyFont="1" applyFill="1" applyBorder="1" applyAlignment="1" applyProtection="1">
      <alignment horizontal="left" vertical="top" wrapText="1"/>
      <protection locked="0"/>
    </xf>
    <xf numFmtId="0" fontId="35" fillId="0" borderId="0" xfId="0" applyFont="1" applyAlignment="1">
      <alignment/>
    </xf>
    <xf numFmtId="49" fontId="37" fillId="0" borderId="0" xfId="0" applyNumberFormat="1" applyFont="1" applyBorder="1" applyAlignment="1" applyProtection="1">
      <alignment horizontal="left" vertical="top" wrapText="1"/>
      <protection locked="0"/>
    </xf>
    <xf numFmtId="49" fontId="37" fillId="36" borderId="0" xfId="0" applyNumberFormat="1" applyFont="1" applyFill="1" applyBorder="1" applyAlignment="1" applyProtection="1">
      <alignment horizontal="left" vertical="top" wrapText="1"/>
      <protection/>
    </xf>
    <xf numFmtId="0" fontId="37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7" fillId="34" borderId="10" xfId="0" applyNumberFormat="1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/>
    </xf>
    <xf numFmtId="0" fontId="39" fillId="0" borderId="27" xfId="0" applyFont="1" applyBorder="1" applyAlignment="1" applyProtection="1">
      <alignment horizontal="center"/>
      <protection hidden="1"/>
    </xf>
    <xf numFmtId="0" fontId="40" fillId="0" borderId="28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45" fillId="0" borderId="2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9" fillId="0" borderId="29" xfId="0" applyFont="1" applyBorder="1" applyAlignment="1" applyProtection="1">
      <alignment horizontal="center"/>
      <protection hidden="1"/>
    </xf>
    <xf numFmtId="0" fontId="10" fillId="36" borderId="0" xfId="0" applyNumberFormat="1" applyFont="1" applyFill="1" applyBorder="1" applyAlignment="1" applyProtection="1">
      <alignment vertical="top"/>
      <protection locked="0"/>
    </xf>
    <xf numFmtId="0" fontId="47" fillId="37" borderId="10" xfId="0" applyNumberFormat="1" applyFont="1" applyFill="1" applyBorder="1" applyAlignment="1" applyProtection="1">
      <alignment horizontal="center" vertical="top"/>
      <protection locked="0"/>
    </xf>
    <xf numFmtId="0" fontId="48" fillId="37" borderId="0" xfId="0" applyFont="1" applyFill="1" applyBorder="1" applyAlignment="1" applyProtection="1">
      <alignment vertical="top"/>
      <protection locked="0"/>
    </xf>
    <xf numFmtId="49" fontId="5" fillId="37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0" fontId="1" fillId="38" borderId="30" xfId="0" applyNumberFormat="1" applyFont="1" applyFill="1" applyBorder="1" applyAlignment="1" applyProtection="1">
      <alignment horizontal="center" vertical="top" wrapText="1"/>
      <protection locked="0"/>
    </xf>
    <xf numFmtId="0" fontId="1" fillId="38" borderId="31" xfId="0" applyNumberFormat="1" applyFont="1" applyFill="1" applyBorder="1" applyAlignment="1" applyProtection="1">
      <alignment vertical="top" wrapText="1"/>
      <protection locked="0"/>
    </xf>
    <xf numFmtId="49" fontId="34" fillId="38" borderId="31" xfId="0" applyNumberFormat="1" applyFont="1" applyFill="1" applyBorder="1" applyAlignment="1" applyProtection="1">
      <alignment horizontal="center" vertical="top" wrapText="1"/>
      <protection locked="0"/>
    </xf>
    <xf numFmtId="49" fontId="1" fillId="38" borderId="31" xfId="0" applyNumberFormat="1" applyFont="1" applyFill="1" applyBorder="1" applyAlignment="1" applyProtection="1">
      <alignment horizontal="center" vertical="top" wrapText="1"/>
      <protection locked="0"/>
    </xf>
    <xf numFmtId="49" fontId="1" fillId="38" borderId="31" xfId="0" applyNumberFormat="1" applyFont="1" applyFill="1" applyBorder="1" applyAlignment="1" applyProtection="1">
      <alignment horizontal="center" vertical="top"/>
      <protection locked="0"/>
    </xf>
    <xf numFmtId="0" fontId="1" fillId="38" borderId="31" xfId="0" applyNumberFormat="1" applyFont="1" applyFill="1" applyBorder="1" applyAlignment="1" applyProtection="1">
      <alignment horizontal="left" vertical="top" wrapText="1"/>
      <protection locked="0"/>
    </xf>
    <xf numFmtId="49" fontId="1" fillId="38" borderId="31" xfId="0" applyNumberFormat="1" applyFont="1" applyFill="1" applyBorder="1" applyAlignment="1" applyProtection="1">
      <alignment horizontal="left" vertical="top" wrapText="1"/>
      <protection locked="0"/>
    </xf>
    <xf numFmtId="49" fontId="36" fillId="38" borderId="31" xfId="0" applyNumberFormat="1" applyFont="1" applyFill="1" applyBorder="1" applyAlignment="1" applyProtection="1">
      <alignment horizontal="left" vertical="top" wrapText="1"/>
      <protection locked="0"/>
    </xf>
    <xf numFmtId="0" fontId="1" fillId="38" borderId="32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2" xfId="0" applyFont="1" applyBorder="1" applyAlignment="1">
      <alignment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 applyProtection="1">
      <alignment horizontal="right" vertical="top"/>
      <protection locked="0"/>
    </xf>
    <xf numFmtId="49" fontId="49" fillId="0" borderId="12" xfId="0" applyNumberFormat="1" applyFont="1" applyBorder="1" applyAlignment="1">
      <alignment horizontal="center" vertical="top" wrapText="1"/>
    </xf>
    <xf numFmtId="0" fontId="49" fillId="0" borderId="33" xfId="0" applyFont="1" applyBorder="1" applyAlignment="1">
      <alignment vertical="center" wrapText="1"/>
    </xf>
    <xf numFmtId="49" fontId="49" fillId="37" borderId="33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3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37" borderId="33" xfId="0" applyNumberFormat="1" applyFont="1" applyFill="1" applyBorder="1" applyAlignment="1" applyProtection="1">
      <alignment horizontal="left" vertical="center" wrapText="1"/>
      <protection locked="0"/>
    </xf>
    <xf numFmtId="0" fontId="49" fillId="37" borderId="33" xfId="0" applyFont="1" applyFill="1" applyBorder="1" applyAlignment="1" applyProtection="1">
      <alignment vertical="center" wrapText="1"/>
      <protection locked="0"/>
    </xf>
    <xf numFmtId="0" fontId="49" fillId="37" borderId="33" xfId="0" applyNumberFormat="1" applyFont="1" applyFill="1" applyBorder="1" applyAlignment="1" applyProtection="1">
      <alignment horizontal="left" vertical="center"/>
      <protection locked="0"/>
    </xf>
    <xf numFmtId="0" fontId="50" fillId="37" borderId="0" xfId="0" applyFont="1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vertical="center" wrapText="1"/>
    </xf>
    <xf numFmtId="49" fontId="4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49" fillId="37" borderId="10" xfId="0" applyFont="1" applyFill="1" applyBorder="1" applyAlignment="1" applyProtection="1">
      <alignment vertical="center" wrapText="1"/>
      <protection locked="0"/>
    </xf>
    <xf numFmtId="0" fontId="49" fillId="37" borderId="10" xfId="0" applyNumberFormat="1" applyFont="1" applyFill="1" applyBorder="1" applyAlignment="1" applyProtection="1">
      <alignment horizontal="left" vertical="center"/>
      <protection locked="0"/>
    </xf>
    <xf numFmtId="49" fontId="49" fillId="37" borderId="10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 applyProtection="1">
      <alignment horizontal="right" vertical="center"/>
      <protection locked="0"/>
    </xf>
    <xf numFmtId="0" fontId="49" fillId="37" borderId="0" xfId="0" applyFont="1" applyFill="1" applyBorder="1" applyAlignment="1" applyProtection="1">
      <alignment vertical="center"/>
      <protection locked="0"/>
    </xf>
    <xf numFmtId="0" fontId="5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7" borderId="10" xfId="0" applyFont="1" applyFill="1" applyBorder="1" applyAlignment="1">
      <alignment horizontal="left" vertical="center" wrapText="1"/>
    </xf>
    <xf numFmtId="49" fontId="90" fillId="37" borderId="12" xfId="0" applyNumberFormat="1" applyFont="1" applyFill="1" applyBorder="1" applyAlignment="1" applyProtection="1">
      <alignment vertical="top"/>
      <protection locked="0"/>
    </xf>
    <xf numFmtId="0" fontId="90" fillId="37" borderId="12" xfId="0" applyFont="1" applyFill="1" applyBorder="1" applyAlignment="1" applyProtection="1">
      <alignment vertical="top"/>
      <protection locked="0"/>
    </xf>
    <xf numFmtId="0" fontId="52" fillId="37" borderId="12" xfId="0" applyNumberFormat="1" applyFont="1" applyFill="1" applyBorder="1" applyAlignment="1" applyProtection="1">
      <alignment horizontal="center" vertical="top"/>
      <protection locked="0"/>
    </xf>
    <xf numFmtId="49" fontId="49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49" fillId="37" borderId="12" xfId="0" applyFont="1" applyFill="1" applyBorder="1" applyAlignment="1" applyProtection="1">
      <alignment vertical="top" wrapText="1"/>
      <protection locked="0"/>
    </xf>
    <xf numFmtId="49" fontId="49" fillId="37" borderId="12" xfId="0" applyNumberFormat="1" applyFont="1" applyFill="1" applyBorder="1" applyAlignment="1">
      <alignment horizontal="center" vertical="top" wrapText="1"/>
    </xf>
    <xf numFmtId="0" fontId="49" fillId="0" borderId="12" xfId="0" applyNumberFormat="1" applyFont="1" applyFill="1" applyBorder="1" applyAlignment="1" applyProtection="1">
      <alignment horizontal="right" vertical="top"/>
      <protection locked="0"/>
    </xf>
    <xf numFmtId="0" fontId="49" fillId="37" borderId="34" xfId="0" applyFont="1" applyFill="1" applyBorder="1" applyAlignment="1" applyProtection="1">
      <alignment vertical="top" wrapText="1"/>
      <protection locked="0"/>
    </xf>
    <xf numFmtId="0" fontId="52" fillId="37" borderId="10" xfId="0" applyNumberFormat="1" applyFont="1" applyFill="1" applyBorder="1" applyAlignment="1" applyProtection="1">
      <alignment horizontal="center" vertical="top"/>
      <protection locked="0"/>
    </xf>
    <xf numFmtId="0" fontId="52" fillId="37" borderId="33" xfId="0" applyNumberFormat="1" applyFont="1" applyFill="1" applyBorder="1" applyAlignment="1" applyProtection="1">
      <alignment horizontal="center" vertical="top"/>
      <protection locked="0"/>
    </xf>
    <xf numFmtId="0" fontId="49" fillId="37" borderId="12" xfId="0" applyNumberFormat="1" applyFont="1" applyFill="1" applyBorder="1" applyAlignment="1" applyProtection="1">
      <alignment vertical="top" wrapText="1"/>
      <protection locked="0"/>
    </xf>
    <xf numFmtId="0" fontId="49" fillId="37" borderId="12" xfId="0" applyNumberFormat="1" applyFont="1" applyFill="1" applyBorder="1" applyAlignment="1" applyProtection="1">
      <alignment vertical="top"/>
      <protection locked="0"/>
    </xf>
    <xf numFmtId="49" fontId="49" fillId="37" borderId="12" xfId="0" applyNumberFormat="1" applyFont="1" applyFill="1" applyBorder="1" applyAlignment="1">
      <alignment vertical="top" wrapText="1"/>
    </xf>
    <xf numFmtId="0" fontId="49" fillId="0" borderId="12" xfId="0" applyNumberFormat="1" applyFont="1" applyFill="1" applyBorder="1" applyAlignment="1" applyProtection="1">
      <alignment vertical="top"/>
      <protection locked="0"/>
    </xf>
    <xf numFmtId="49" fontId="90" fillId="37" borderId="12" xfId="0" applyNumberFormat="1" applyFont="1" applyFill="1" applyBorder="1" applyAlignment="1">
      <alignment vertical="top" wrapText="1"/>
    </xf>
    <xf numFmtId="0" fontId="90" fillId="0" borderId="12" xfId="0" applyNumberFormat="1" applyFont="1" applyFill="1" applyBorder="1" applyAlignment="1" applyProtection="1">
      <alignment vertical="top"/>
      <protection locked="0"/>
    </xf>
    <xf numFmtId="0" fontId="49" fillId="37" borderId="34" xfId="0" applyNumberFormat="1" applyFont="1" applyFill="1" applyBorder="1" applyAlignment="1" applyProtection="1">
      <alignment vertical="top"/>
      <protection locked="0"/>
    </xf>
    <xf numFmtId="0" fontId="91" fillId="37" borderId="12" xfId="0" applyNumberFormat="1" applyFont="1" applyFill="1" applyBorder="1" applyAlignment="1" applyProtection="1">
      <alignment horizontal="center" vertical="top"/>
      <protection locked="0"/>
    </xf>
    <xf numFmtId="0" fontId="49" fillId="0" borderId="34" xfId="0" applyFont="1" applyBorder="1" applyAlignment="1">
      <alignment vertical="top" wrapText="1"/>
    </xf>
    <xf numFmtId="0" fontId="49" fillId="0" borderId="35" xfId="0" applyFont="1" applyBorder="1" applyAlignment="1">
      <alignment vertical="center" wrapText="1"/>
    </xf>
    <xf numFmtId="0" fontId="49" fillId="37" borderId="35" xfId="0" applyNumberFormat="1" applyFont="1" applyFill="1" applyBorder="1" applyAlignment="1" applyProtection="1">
      <alignment vertical="center" wrapText="1"/>
      <protection locked="0"/>
    </xf>
    <xf numFmtId="0" fontId="49" fillId="37" borderId="35" xfId="0" applyFont="1" applyFill="1" applyBorder="1" applyAlignment="1" applyProtection="1">
      <alignment vertical="center" wrapText="1"/>
      <protection locked="0"/>
    </xf>
    <xf numFmtId="0" fontId="49" fillId="37" borderId="35" xfId="0" applyNumberFormat="1" applyFont="1" applyFill="1" applyBorder="1" applyAlignment="1" applyProtection="1">
      <alignment vertical="center"/>
      <protection locked="0"/>
    </xf>
    <xf numFmtId="0" fontId="52" fillId="37" borderId="0" xfId="0" applyFont="1" applyFill="1" applyBorder="1" applyAlignment="1" applyProtection="1">
      <alignment horizontal="center" vertical="top"/>
      <protection locked="0"/>
    </xf>
    <xf numFmtId="0" fontId="49" fillId="0" borderId="12" xfId="0" applyFont="1" applyBorder="1" applyAlignment="1">
      <alignment vertical="center" wrapText="1"/>
    </xf>
    <xf numFmtId="49" fontId="49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12" xfId="0" applyNumberFormat="1" applyFont="1" applyBorder="1" applyAlignment="1">
      <alignment horizontal="center" vertical="center" wrapText="1"/>
    </xf>
    <xf numFmtId="0" fontId="48" fillId="37" borderId="12" xfId="0" applyFont="1" applyFill="1" applyBorder="1" applyAlignment="1" applyProtection="1">
      <alignment vertical="top"/>
      <protection locked="0"/>
    </xf>
    <xf numFmtId="0" fontId="52" fillId="37" borderId="34" xfId="0" applyNumberFormat="1" applyFont="1" applyFill="1" applyBorder="1" applyAlignment="1" applyProtection="1">
      <alignment horizontal="center" vertical="top"/>
      <protection locked="0"/>
    </xf>
    <xf numFmtId="0" fontId="49" fillId="0" borderId="34" xfId="0" applyFont="1" applyBorder="1" applyAlignment="1">
      <alignment vertical="center" wrapText="1"/>
    </xf>
    <xf numFmtId="49" fontId="49" fillId="37" borderId="34" xfId="0" applyNumberFormat="1" applyFont="1" applyFill="1" applyBorder="1" applyAlignment="1" applyProtection="1">
      <alignment horizontal="center" vertical="center" wrapText="1"/>
      <protection locked="0"/>
    </xf>
    <xf numFmtId="49" fontId="49" fillId="0" borderId="34" xfId="0" applyNumberFormat="1" applyFont="1" applyBorder="1" applyAlignment="1">
      <alignment horizontal="center" vertical="center" wrapText="1"/>
    </xf>
    <xf numFmtId="0" fontId="49" fillId="37" borderId="34" xfId="0" applyNumberFormat="1" applyFont="1" applyFill="1" applyBorder="1" applyAlignment="1" applyProtection="1">
      <alignment vertical="top" wrapText="1"/>
      <protection locked="0"/>
    </xf>
    <xf numFmtId="49" fontId="49" fillId="37" borderId="34" xfId="0" applyNumberFormat="1" applyFont="1" applyFill="1" applyBorder="1" applyAlignment="1">
      <alignment vertical="top" wrapText="1"/>
    </xf>
    <xf numFmtId="0" fontId="49" fillId="0" borderId="34" xfId="0" applyNumberFormat="1" applyFont="1" applyFill="1" applyBorder="1" applyAlignment="1" applyProtection="1">
      <alignment vertical="top"/>
      <protection locked="0"/>
    </xf>
    <xf numFmtId="0" fontId="53" fillId="37" borderId="12" xfId="0" applyFont="1" applyFill="1" applyBorder="1" applyAlignment="1" applyProtection="1">
      <alignment vertical="top"/>
      <protection locked="0"/>
    </xf>
    <xf numFmtId="0" fontId="53" fillId="0" borderId="12" xfId="0" applyFont="1" applyBorder="1" applyAlignment="1">
      <alignment vertical="top" wrapText="1"/>
    </xf>
    <xf numFmtId="0" fontId="53" fillId="37" borderId="12" xfId="0" applyFont="1" applyFill="1" applyBorder="1" applyAlignment="1" applyProtection="1">
      <alignment horizontal="center" vertical="top"/>
      <protection locked="0"/>
    </xf>
    <xf numFmtId="0" fontId="43" fillId="0" borderId="28" xfId="0" applyFont="1" applyBorder="1" applyAlignment="1" applyProtection="1">
      <alignment horizontal="left"/>
      <protection hidden="1"/>
    </xf>
    <xf numFmtId="0" fontId="44" fillId="0" borderId="28" xfId="0" applyFont="1" applyBorder="1" applyAlignment="1">
      <alignment/>
    </xf>
    <xf numFmtId="0" fontId="32" fillId="0" borderId="28" xfId="0" applyFont="1" applyBorder="1" applyAlignment="1" applyProtection="1">
      <alignment horizontal="left"/>
      <protection hidden="1"/>
    </xf>
    <xf numFmtId="0" fontId="30" fillId="0" borderId="2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42" fillId="0" borderId="28" xfId="0" applyFont="1" applyBorder="1" applyAlignment="1" applyProtection="1">
      <alignment/>
      <protection hidden="1"/>
    </xf>
    <xf numFmtId="0" fontId="0" fillId="0" borderId="28" xfId="0" applyBorder="1" applyAlignment="1">
      <alignment/>
    </xf>
    <xf numFmtId="0" fontId="31" fillId="0" borderId="0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41" fillId="0" borderId="28" xfId="0" applyFont="1" applyBorder="1" applyAlignment="1" applyProtection="1">
      <alignment horizontal="left"/>
      <protection hidden="1"/>
    </xf>
    <xf numFmtId="164" fontId="40" fillId="0" borderId="28" xfId="0" applyNumberFormat="1" applyFont="1" applyBorder="1" applyAlignment="1" applyProtection="1">
      <alignment horizontal="center"/>
      <protection hidden="1"/>
    </xf>
    <xf numFmtId="0" fontId="30" fillId="0" borderId="20" xfId="0" applyFont="1" applyBorder="1" applyAlignment="1" applyProtection="1">
      <alignment horizontal="center"/>
      <protection hidden="1"/>
    </xf>
    <xf numFmtId="0" fontId="42" fillId="0" borderId="28" xfId="0" applyFont="1" applyBorder="1" applyAlignment="1" applyProtection="1">
      <alignment horizontal="left"/>
      <protection hidden="1"/>
    </xf>
    <xf numFmtId="0" fontId="24" fillId="0" borderId="37" xfId="0" applyFont="1" applyBorder="1" applyAlignment="1" applyProtection="1">
      <alignment horizontal="center"/>
      <protection hidden="1"/>
    </xf>
    <xf numFmtId="0" fontId="24" fillId="0" borderId="38" xfId="0" applyFont="1" applyBorder="1" applyAlignment="1" applyProtection="1">
      <alignment horizontal="center"/>
      <protection hidden="1"/>
    </xf>
    <xf numFmtId="0" fontId="38" fillId="0" borderId="39" xfId="0" applyFont="1" applyBorder="1" applyAlignment="1" applyProtection="1">
      <alignment horizontal="center" vertical="center"/>
      <protection hidden="1"/>
    </xf>
    <xf numFmtId="0" fontId="38" fillId="0" borderId="40" xfId="0" applyFont="1" applyBorder="1" applyAlignment="1" applyProtection="1">
      <alignment horizontal="center" vertical="center"/>
      <protection hidden="1"/>
    </xf>
    <xf numFmtId="0" fontId="26" fillId="0" borderId="41" xfId="0" applyFont="1" applyBorder="1" applyAlignment="1" applyProtection="1">
      <alignment horizontal="center" vertical="center"/>
      <protection hidden="1"/>
    </xf>
    <xf numFmtId="0" fontId="26" fillId="0" borderId="42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40" xfId="0" applyFont="1" applyBorder="1" applyAlignment="1" applyProtection="1">
      <alignment horizontal="center" vertical="center"/>
      <protection hidden="1"/>
    </xf>
    <xf numFmtId="0" fontId="46" fillId="0" borderId="37" xfId="0" applyFont="1" applyBorder="1" applyAlignment="1" applyProtection="1">
      <alignment horizontal="center"/>
      <protection hidden="1"/>
    </xf>
    <xf numFmtId="0" fontId="46" fillId="0" borderId="38" xfId="0" applyFont="1" applyBorder="1" applyAlignment="1" applyProtection="1">
      <alignment horizontal="center"/>
      <protection hidden="1"/>
    </xf>
    <xf numFmtId="0" fontId="46" fillId="0" borderId="43" xfId="0" applyFont="1" applyBorder="1" applyAlignment="1" applyProtection="1">
      <alignment horizontal="center"/>
      <protection hidden="1"/>
    </xf>
    <xf numFmtId="0" fontId="46" fillId="0" borderId="44" xfId="0" applyFont="1" applyBorder="1" applyAlignment="1" applyProtection="1">
      <alignment horizontal="center"/>
      <protection hidden="1"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/>
      <protection locked="0"/>
    </xf>
    <xf numFmtId="49" fontId="92" fillId="36" borderId="1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7"/>
  <sheetViews>
    <sheetView showGridLines="0" tabSelected="1" zoomScale="98" zoomScaleNormal="98" zoomScalePageLayoutView="0" workbookViewId="0" topLeftCell="A99">
      <selection activeCell="H111" sqref="H111"/>
    </sheetView>
  </sheetViews>
  <sheetFormatPr defaultColWidth="9.00390625" defaultRowHeight="12.75" outlineLevelRow="1"/>
  <cols>
    <col min="1" max="1" width="6.25390625" style="43" customWidth="1"/>
    <col min="2" max="2" width="26.875" style="43" customWidth="1"/>
    <col min="3" max="3" width="3.625" style="22" customWidth="1"/>
    <col min="4" max="4" width="12.375" style="22" customWidth="1"/>
    <col min="5" max="5" width="7.25390625" style="38" customWidth="1"/>
    <col min="6" max="6" width="24.625" style="119" customWidth="1"/>
    <col min="7" max="7" width="20.75390625" style="119" hidden="1" customWidth="1"/>
    <col min="8" max="8" width="13.75390625" style="37" customWidth="1"/>
    <col min="9" max="9" width="27.375" style="129" customWidth="1"/>
    <col min="10" max="10" width="30.75390625" style="124" customWidth="1"/>
    <col min="11" max="11" width="9.75390625" style="7" customWidth="1"/>
    <col min="12" max="12" width="6.75390625" style="7" customWidth="1"/>
    <col min="13" max="13" width="8.75390625" style="8" customWidth="1"/>
  </cols>
  <sheetData>
    <row r="1" spans="1:13" s="2" customFormat="1" ht="25.5" customHeight="1" hidden="1" outlineLevel="1">
      <c r="A1" s="39"/>
      <c r="B1" s="1"/>
      <c r="C1" s="47"/>
      <c r="D1" s="13"/>
      <c r="E1" s="13">
        <v>1</v>
      </c>
      <c r="F1" s="25" t="s">
        <v>53</v>
      </c>
      <c r="G1" s="30"/>
      <c r="H1" s="33"/>
      <c r="I1" s="125"/>
      <c r="J1" s="120"/>
      <c r="K1" s="4"/>
      <c r="L1" s="4"/>
      <c r="M1" s="9">
        <v>60</v>
      </c>
    </row>
    <row r="2" spans="1:13" s="2" customFormat="1" ht="25.5" customHeight="1" hidden="1" outlineLevel="1">
      <c r="A2" s="39"/>
      <c r="B2" s="1"/>
      <c r="C2" s="47"/>
      <c r="D2" s="13"/>
      <c r="E2" s="13">
        <v>2</v>
      </c>
      <c r="F2" s="25" t="s">
        <v>149</v>
      </c>
      <c r="G2" s="30" t="s">
        <v>1</v>
      </c>
      <c r="H2" s="33"/>
      <c r="I2" s="125"/>
      <c r="J2" s="120"/>
      <c r="K2" s="4"/>
      <c r="L2" s="4"/>
      <c r="M2" s="9">
        <v>200</v>
      </c>
    </row>
    <row r="3" spans="1:13" s="2" customFormat="1" ht="25.5" customHeight="1" hidden="1" outlineLevel="1">
      <c r="A3" s="39"/>
      <c r="B3" s="1"/>
      <c r="C3" s="47"/>
      <c r="D3" s="13"/>
      <c r="E3" s="13">
        <v>3</v>
      </c>
      <c r="F3" s="25" t="s">
        <v>150</v>
      </c>
      <c r="G3" s="30" t="s">
        <v>2</v>
      </c>
      <c r="H3" s="33"/>
      <c r="I3" s="125"/>
      <c r="J3" s="120"/>
      <c r="K3" s="4"/>
      <c r="L3" s="4"/>
      <c r="M3" s="9">
        <v>400</v>
      </c>
    </row>
    <row r="4" spans="1:13" s="2" customFormat="1" ht="25.5" customHeight="1" hidden="1" outlineLevel="1">
      <c r="A4" s="39"/>
      <c r="B4" s="1"/>
      <c r="C4" s="47"/>
      <c r="D4" s="13"/>
      <c r="E4" s="13">
        <v>4</v>
      </c>
      <c r="F4" s="25" t="s">
        <v>149</v>
      </c>
      <c r="G4" s="30" t="s">
        <v>3</v>
      </c>
      <c r="H4" s="33"/>
      <c r="I4" s="125"/>
      <c r="J4" s="120"/>
      <c r="K4" s="4"/>
      <c r="L4" s="4"/>
      <c r="M4" s="9">
        <v>800</v>
      </c>
    </row>
    <row r="5" spans="1:13" s="2" customFormat="1" ht="25.5" customHeight="1" hidden="1" outlineLevel="1">
      <c r="A5" s="39"/>
      <c r="B5" s="1"/>
      <c r="C5" s="47"/>
      <c r="D5" s="13"/>
      <c r="E5" s="13">
        <v>5</v>
      </c>
      <c r="F5" s="25" t="s">
        <v>151</v>
      </c>
      <c r="G5" s="30" t="s">
        <v>4</v>
      </c>
      <c r="H5" s="33"/>
      <c r="I5" s="125"/>
      <c r="J5" s="120"/>
      <c r="K5" s="4"/>
      <c r="L5" s="4"/>
      <c r="M5" s="9">
        <v>1500</v>
      </c>
    </row>
    <row r="6" spans="1:13" s="2" customFormat="1" ht="25.5" customHeight="1" hidden="1" outlineLevel="1">
      <c r="A6" s="39"/>
      <c r="B6" s="1"/>
      <c r="C6" s="47"/>
      <c r="D6" s="13"/>
      <c r="E6" s="13">
        <v>6</v>
      </c>
      <c r="F6" s="25" t="s">
        <v>152</v>
      </c>
      <c r="G6" s="30" t="s">
        <v>4</v>
      </c>
      <c r="H6" s="33"/>
      <c r="I6" s="125"/>
      <c r="J6" s="120"/>
      <c r="K6" s="4"/>
      <c r="L6" s="4"/>
      <c r="M6" s="9">
        <v>3000</v>
      </c>
    </row>
    <row r="7" spans="1:13" s="2" customFormat="1" ht="25.5" customHeight="1" hidden="1" outlineLevel="1">
      <c r="A7" s="39"/>
      <c r="B7" s="1"/>
      <c r="C7" s="47"/>
      <c r="D7" s="13"/>
      <c r="E7" s="13">
        <v>7</v>
      </c>
      <c r="F7" s="25" t="s">
        <v>153</v>
      </c>
      <c r="G7" s="30" t="s">
        <v>4</v>
      </c>
      <c r="H7" s="33"/>
      <c r="I7" s="125"/>
      <c r="J7" s="120"/>
      <c r="K7" s="4"/>
      <c r="L7" s="4"/>
      <c r="M7" s="9">
        <v>5000</v>
      </c>
    </row>
    <row r="8" spans="1:13" s="2" customFormat="1" ht="25.5" customHeight="1" hidden="1" outlineLevel="1">
      <c r="A8" s="39"/>
      <c r="B8" s="1"/>
      <c r="C8" s="47"/>
      <c r="D8" s="13"/>
      <c r="E8" s="13">
        <v>8</v>
      </c>
      <c r="F8" s="25" t="s">
        <v>154</v>
      </c>
      <c r="G8" s="30"/>
      <c r="H8" s="33"/>
      <c r="I8" s="125"/>
      <c r="J8" s="120"/>
      <c r="K8" s="4"/>
      <c r="L8" s="4"/>
      <c r="M8" s="9">
        <v>10000</v>
      </c>
    </row>
    <row r="9" spans="1:13" s="2" customFormat="1" ht="25.5" customHeight="1" hidden="1" outlineLevel="1">
      <c r="A9" s="39"/>
      <c r="B9" s="1"/>
      <c r="C9" s="47"/>
      <c r="D9" s="13"/>
      <c r="E9" s="13">
        <v>9</v>
      </c>
      <c r="F9" s="25" t="s">
        <v>155</v>
      </c>
      <c r="G9" s="30" t="s">
        <v>2</v>
      </c>
      <c r="H9" s="33"/>
      <c r="I9" s="125"/>
      <c r="J9" s="120"/>
      <c r="K9" s="4"/>
      <c r="L9" s="4"/>
      <c r="M9" s="9" t="s">
        <v>107</v>
      </c>
    </row>
    <row r="10" spans="1:13" s="2" customFormat="1" ht="25.5" customHeight="1" hidden="1" outlineLevel="1">
      <c r="A10" s="39"/>
      <c r="B10" s="1"/>
      <c r="C10" s="47"/>
      <c r="D10" s="13"/>
      <c r="E10" s="13">
        <v>10</v>
      </c>
      <c r="F10" s="25" t="s">
        <v>5</v>
      </c>
      <c r="G10" s="30" t="s">
        <v>4</v>
      </c>
      <c r="H10" s="33"/>
      <c r="I10" s="125"/>
      <c r="J10" s="120"/>
      <c r="K10" s="4"/>
      <c r="L10" s="4"/>
      <c r="M10" s="9" t="s">
        <v>108</v>
      </c>
    </row>
    <row r="11" spans="1:13" s="2" customFormat="1" ht="25.5" customHeight="1" hidden="1" outlineLevel="1">
      <c r="A11" s="39"/>
      <c r="B11" s="1"/>
      <c r="C11" s="47"/>
      <c r="D11" s="13"/>
      <c r="E11" s="13">
        <v>11</v>
      </c>
      <c r="F11" s="25" t="s">
        <v>6</v>
      </c>
      <c r="G11" s="30" t="s">
        <v>1</v>
      </c>
      <c r="H11" s="33"/>
      <c r="I11" s="125"/>
      <c r="J11" s="120"/>
      <c r="K11" s="4"/>
      <c r="L11" s="4"/>
      <c r="M11" s="9" t="s">
        <v>109</v>
      </c>
    </row>
    <row r="12" spans="1:13" s="2" customFormat="1" ht="25.5" customHeight="1" hidden="1" outlineLevel="1">
      <c r="A12" s="39"/>
      <c r="B12" s="1"/>
      <c r="C12" s="47"/>
      <c r="D12" s="140"/>
      <c r="E12" s="13">
        <v>12</v>
      </c>
      <c r="F12" s="25" t="s">
        <v>7</v>
      </c>
      <c r="G12" s="30" t="s">
        <v>0</v>
      </c>
      <c r="H12" s="33"/>
      <c r="I12" s="125"/>
      <c r="J12" s="120"/>
      <c r="K12" s="4"/>
      <c r="L12" s="4"/>
      <c r="M12" s="9" t="s">
        <v>148</v>
      </c>
    </row>
    <row r="13" spans="1:13" s="2" customFormat="1" ht="25.5" customHeight="1" hidden="1" outlineLevel="1">
      <c r="A13" s="39"/>
      <c r="B13" s="1"/>
      <c r="C13" s="47"/>
      <c r="D13" s="141"/>
      <c r="E13" s="13">
        <v>13</v>
      </c>
      <c r="F13" s="25" t="s">
        <v>8</v>
      </c>
      <c r="G13" s="30" t="s">
        <v>4</v>
      </c>
      <c r="H13" s="33"/>
      <c r="I13" s="125"/>
      <c r="J13" s="120"/>
      <c r="K13" s="4"/>
      <c r="L13" s="4"/>
      <c r="M13" s="9" t="s">
        <v>9</v>
      </c>
    </row>
    <row r="14" spans="1:13" s="2" customFormat="1" ht="25.5" customHeight="1" hidden="1" outlineLevel="1">
      <c r="A14" s="39"/>
      <c r="B14" s="1"/>
      <c r="C14" s="47"/>
      <c r="D14" s="13"/>
      <c r="E14" s="13">
        <v>14</v>
      </c>
      <c r="F14" s="25" t="s">
        <v>10</v>
      </c>
      <c r="G14" s="30" t="s">
        <v>0</v>
      </c>
      <c r="H14" s="33"/>
      <c r="I14" s="125"/>
      <c r="J14" s="120"/>
      <c r="K14" s="4"/>
      <c r="L14" s="4"/>
      <c r="M14" s="9" t="s">
        <v>11</v>
      </c>
    </row>
    <row r="15" spans="1:13" s="2" customFormat="1" ht="25.5" customHeight="1" hidden="1" outlineLevel="1">
      <c r="A15" s="39"/>
      <c r="B15" s="1"/>
      <c r="C15" s="47"/>
      <c r="D15" s="13"/>
      <c r="E15" s="13">
        <v>15</v>
      </c>
      <c r="F15" s="25" t="s">
        <v>12</v>
      </c>
      <c r="G15" s="30" t="s">
        <v>3</v>
      </c>
      <c r="H15" s="33"/>
      <c r="I15" s="125"/>
      <c r="J15" s="120"/>
      <c r="K15" s="4"/>
      <c r="L15" s="4"/>
      <c r="M15" s="9" t="s">
        <v>13</v>
      </c>
    </row>
    <row r="16" spans="1:13" s="2" customFormat="1" ht="25.5" customHeight="1" hidden="1" outlineLevel="1">
      <c r="A16" s="39"/>
      <c r="B16" s="1"/>
      <c r="C16" s="47"/>
      <c r="D16" s="13"/>
      <c r="E16" s="13">
        <v>16</v>
      </c>
      <c r="F16" s="25" t="s">
        <v>14</v>
      </c>
      <c r="G16" s="30" t="s">
        <v>2</v>
      </c>
      <c r="H16" s="33"/>
      <c r="I16" s="125"/>
      <c r="J16" s="120"/>
      <c r="K16" s="4"/>
      <c r="L16" s="4"/>
      <c r="M16" s="9" t="s">
        <v>21</v>
      </c>
    </row>
    <row r="17" spans="1:13" s="2" customFormat="1" ht="25.5" customHeight="1" hidden="1" outlineLevel="1">
      <c r="A17" s="39"/>
      <c r="B17" s="1"/>
      <c r="C17" s="47"/>
      <c r="D17" s="13"/>
      <c r="E17" s="13">
        <v>17</v>
      </c>
      <c r="F17" s="25" t="s">
        <v>15</v>
      </c>
      <c r="G17" s="30" t="s">
        <v>4</v>
      </c>
      <c r="H17" s="33"/>
      <c r="I17" s="125"/>
      <c r="J17" s="120"/>
      <c r="K17" s="4"/>
      <c r="L17" s="4"/>
      <c r="M17" s="9" t="s">
        <v>23</v>
      </c>
    </row>
    <row r="18" spans="1:13" s="2" customFormat="1" ht="25.5" customHeight="1" hidden="1" outlineLevel="1">
      <c r="A18" s="39"/>
      <c r="B18" s="1"/>
      <c r="C18" s="47"/>
      <c r="D18" s="13"/>
      <c r="E18" s="13">
        <v>18</v>
      </c>
      <c r="F18" s="25" t="s">
        <v>16</v>
      </c>
      <c r="G18" s="30" t="s">
        <v>1</v>
      </c>
      <c r="H18" s="33"/>
      <c r="I18" s="125"/>
      <c r="J18" s="120"/>
      <c r="K18" s="4"/>
      <c r="L18" s="4"/>
      <c r="M18" s="9" t="s">
        <v>25</v>
      </c>
    </row>
    <row r="19" spans="1:13" s="2" customFormat="1" ht="25.5" customHeight="1" hidden="1" outlineLevel="1">
      <c r="A19" s="39"/>
      <c r="B19" s="1"/>
      <c r="C19" s="47"/>
      <c r="D19" s="13"/>
      <c r="E19" s="13">
        <v>19</v>
      </c>
      <c r="F19" s="25" t="s">
        <v>17</v>
      </c>
      <c r="G19" s="30" t="s">
        <v>3</v>
      </c>
      <c r="H19" s="33"/>
      <c r="I19" s="125"/>
      <c r="J19" s="120"/>
      <c r="K19" s="4"/>
      <c r="L19" s="4"/>
      <c r="M19" s="9" t="s">
        <v>27</v>
      </c>
    </row>
    <row r="20" spans="1:13" s="2" customFormat="1" ht="25.5" customHeight="1" hidden="1" outlineLevel="1">
      <c r="A20" s="39"/>
      <c r="B20" s="1"/>
      <c r="C20" s="47"/>
      <c r="D20" s="13"/>
      <c r="E20" s="13">
        <v>20</v>
      </c>
      <c r="F20" s="25" t="s">
        <v>18</v>
      </c>
      <c r="G20" s="30" t="s">
        <v>0</v>
      </c>
      <c r="H20" s="33"/>
      <c r="I20" s="125"/>
      <c r="J20" s="120"/>
      <c r="K20" s="4"/>
      <c r="L20" s="4"/>
      <c r="M20" s="9" t="s">
        <v>30</v>
      </c>
    </row>
    <row r="21" spans="1:13" s="2" customFormat="1" ht="25.5" customHeight="1" hidden="1" outlineLevel="1">
      <c r="A21" s="39"/>
      <c r="B21" s="1"/>
      <c r="C21" s="47"/>
      <c r="D21" s="13"/>
      <c r="E21" s="13">
        <v>21</v>
      </c>
      <c r="F21" s="25" t="s">
        <v>19</v>
      </c>
      <c r="G21" s="30" t="s">
        <v>20</v>
      </c>
      <c r="H21" s="33"/>
      <c r="I21" s="125"/>
      <c r="J21" s="120"/>
      <c r="K21" s="4"/>
      <c r="L21" s="4"/>
      <c r="M21" s="9" t="s">
        <v>32</v>
      </c>
    </row>
    <row r="22" spans="1:13" s="2" customFormat="1" ht="25.5" customHeight="1" hidden="1" outlineLevel="1">
      <c r="A22" s="39"/>
      <c r="B22" s="1"/>
      <c r="C22" s="47"/>
      <c r="D22" s="13"/>
      <c r="E22" s="13">
        <v>22</v>
      </c>
      <c r="F22" s="25" t="s">
        <v>22</v>
      </c>
      <c r="G22" s="30" t="s">
        <v>4</v>
      </c>
      <c r="H22" s="33"/>
      <c r="I22" s="125"/>
      <c r="J22" s="120"/>
      <c r="K22" s="4"/>
      <c r="L22" s="4"/>
      <c r="M22" s="9" t="s">
        <v>34</v>
      </c>
    </row>
    <row r="23" spans="1:13" s="2" customFormat="1" ht="25.5" customHeight="1" hidden="1" outlineLevel="1">
      <c r="A23" s="39"/>
      <c r="B23" s="1"/>
      <c r="C23" s="47"/>
      <c r="D23" s="13"/>
      <c r="E23" s="13">
        <v>23</v>
      </c>
      <c r="F23" s="25" t="s">
        <v>24</v>
      </c>
      <c r="G23" s="30" t="s">
        <v>3</v>
      </c>
      <c r="H23" s="33"/>
      <c r="I23" s="125"/>
      <c r="J23" s="120"/>
      <c r="K23" s="4"/>
      <c r="L23" s="4"/>
      <c r="M23" s="9" t="s">
        <v>36</v>
      </c>
    </row>
    <row r="24" spans="1:13" s="2" customFormat="1" ht="25.5" customHeight="1" hidden="1" outlineLevel="1">
      <c r="A24" s="39"/>
      <c r="B24" s="1"/>
      <c r="C24" s="47"/>
      <c r="D24" s="13"/>
      <c r="E24" s="13">
        <v>24</v>
      </c>
      <c r="F24" s="25" t="s">
        <v>26</v>
      </c>
      <c r="G24" s="30" t="s">
        <v>0</v>
      </c>
      <c r="H24" s="33"/>
      <c r="I24" s="125"/>
      <c r="J24" s="120"/>
      <c r="K24" s="4"/>
      <c r="L24" s="4"/>
      <c r="M24" s="9" t="s">
        <v>43</v>
      </c>
    </row>
    <row r="25" spans="1:13" s="2" customFormat="1" ht="25.5" customHeight="1" hidden="1" outlineLevel="1">
      <c r="A25" s="39"/>
      <c r="B25" s="1"/>
      <c r="C25" s="47"/>
      <c r="D25" s="13"/>
      <c r="E25" s="13">
        <v>25</v>
      </c>
      <c r="F25" s="25" t="s">
        <v>28</v>
      </c>
      <c r="G25" s="30" t="s">
        <v>29</v>
      </c>
      <c r="H25" s="33"/>
      <c r="I25" s="125"/>
      <c r="J25" s="120"/>
      <c r="K25" s="4"/>
      <c r="L25" s="4"/>
      <c r="M25" s="9" t="s">
        <v>41</v>
      </c>
    </row>
    <row r="26" spans="1:13" s="2" customFormat="1" ht="25.5" customHeight="1" hidden="1" outlineLevel="1">
      <c r="A26" s="39"/>
      <c r="B26" s="1"/>
      <c r="C26" s="47"/>
      <c r="D26" s="13"/>
      <c r="E26" s="13">
        <v>26</v>
      </c>
      <c r="F26" s="25" t="s">
        <v>31</v>
      </c>
      <c r="G26" s="30" t="s">
        <v>4</v>
      </c>
      <c r="H26" s="33"/>
      <c r="I26" s="125"/>
      <c r="J26" s="120"/>
      <c r="K26" s="4"/>
      <c r="L26" s="4"/>
      <c r="M26" s="9" t="s">
        <v>118</v>
      </c>
    </row>
    <row r="27" spans="1:13" s="2" customFormat="1" ht="25.5" customHeight="1" hidden="1" outlineLevel="1">
      <c r="A27" s="39"/>
      <c r="B27" s="1"/>
      <c r="C27" s="47"/>
      <c r="D27" s="13"/>
      <c r="E27" s="13">
        <v>27</v>
      </c>
      <c r="F27" s="25" t="s">
        <v>33</v>
      </c>
      <c r="G27" s="30" t="s">
        <v>2</v>
      </c>
      <c r="H27" s="33"/>
      <c r="I27" s="125"/>
      <c r="J27" s="120"/>
      <c r="K27" s="4"/>
      <c r="L27" s="4"/>
      <c r="M27" s="9" t="s">
        <v>38</v>
      </c>
    </row>
    <row r="28" spans="1:13" s="2" customFormat="1" ht="25.5" customHeight="1" hidden="1" outlineLevel="1">
      <c r="A28" s="39"/>
      <c r="B28" s="1"/>
      <c r="C28" s="47"/>
      <c r="D28" s="13"/>
      <c r="E28" s="13">
        <v>28</v>
      </c>
      <c r="F28" s="25" t="s">
        <v>35</v>
      </c>
      <c r="G28" s="30" t="s">
        <v>4</v>
      </c>
      <c r="H28" s="33"/>
      <c r="I28" s="125"/>
      <c r="J28" s="120"/>
      <c r="K28" s="4"/>
      <c r="L28" s="4"/>
      <c r="M28" s="9">
        <v>150</v>
      </c>
    </row>
    <row r="29" spans="1:13" s="2" customFormat="1" ht="25.5" customHeight="1" hidden="1" outlineLevel="1">
      <c r="A29" s="39"/>
      <c r="B29" s="1"/>
      <c r="C29" s="47"/>
      <c r="D29" s="13"/>
      <c r="E29" s="13">
        <v>29</v>
      </c>
      <c r="F29" s="25" t="s">
        <v>37</v>
      </c>
      <c r="G29" s="30" t="s">
        <v>1</v>
      </c>
      <c r="H29" s="33"/>
      <c r="I29" s="125"/>
      <c r="J29" s="120"/>
      <c r="K29" s="4"/>
      <c r="L29" s="4"/>
      <c r="M29" s="9">
        <v>300</v>
      </c>
    </row>
    <row r="30" spans="1:13" s="2" customFormat="1" ht="25.5" customHeight="1" hidden="1" outlineLevel="1">
      <c r="A30" s="39"/>
      <c r="B30" s="1"/>
      <c r="C30" s="47"/>
      <c r="D30" s="13"/>
      <c r="E30" s="13">
        <v>30</v>
      </c>
      <c r="F30" s="25" t="s">
        <v>39</v>
      </c>
      <c r="G30" s="30" t="s">
        <v>40</v>
      </c>
      <c r="H30" s="33"/>
      <c r="I30" s="125"/>
      <c r="J30" s="120"/>
      <c r="K30" s="4"/>
      <c r="L30" s="4"/>
      <c r="M30" s="9">
        <v>600</v>
      </c>
    </row>
    <row r="31" spans="1:13" s="2" customFormat="1" ht="25.5" customHeight="1" hidden="1" outlineLevel="1">
      <c r="A31" s="39"/>
      <c r="B31" s="1"/>
      <c r="C31" s="47"/>
      <c r="D31" s="13"/>
      <c r="E31" s="13">
        <v>31</v>
      </c>
      <c r="F31" s="25" t="s">
        <v>42</v>
      </c>
      <c r="G31" s="30" t="s">
        <v>40</v>
      </c>
      <c r="H31" s="33"/>
      <c r="I31" s="125"/>
      <c r="J31" s="120"/>
      <c r="K31" s="4"/>
      <c r="L31" s="4"/>
      <c r="M31" s="10"/>
    </row>
    <row r="32" spans="1:13" s="2" customFormat="1" ht="25.5" customHeight="1" hidden="1" outlineLevel="1">
      <c r="A32" s="39"/>
      <c r="B32" s="1"/>
      <c r="C32" s="47"/>
      <c r="D32" s="13"/>
      <c r="E32" s="13">
        <v>32</v>
      </c>
      <c r="F32" s="25" t="s">
        <v>44</v>
      </c>
      <c r="G32" s="30" t="s">
        <v>4</v>
      </c>
      <c r="H32" s="33"/>
      <c r="I32" s="125"/>
      <c r="J32" s="120"/>
      <c r="K32" s="4"/>
      <c r="L32" s="4"/>
      <c r="M32" s="10"/>
    </row>
    <row r="33" spans="1:13" s="2" customFormat="1" ht="25.5" customHeight="1" hidden="1" outlineLevel="1">
      <c r="A33" s="39"/>
      <c r="B33" s="1"/>
      <c r="C33" s="47"/>
      <c r="D33" s="13"/>
      <c r="E33" s="13">
        <v>33</v>
      </c>
      <c r="F33" s="25" t="s">
        <v>45</v>
      </c>
      <c r="G33" s="30" t="s">
        <v>2</v>
      </c>
      <c r="H33" s="33"/>
      <c r="I33" s="125"/>
      <c r="J33" s="120"/>
      <c r="K33" s="4"/>
      <c r="L33" s="4"/>
      <c r="M33" s="10"/>
    </row>
    <row r="34" spans="1:13" s="2" customFormat="1" ht="25.5" customHeight="1" hidden="1" outlineLevel="1">
      <c r="A34" s="39"/>
      <c r="B34" s="1"/>
      <c r="C34" s="47"/>
      <c r="D34" s="13"/>
      <c r="E34" s="13">
        <v>34</v>
      </c>
      <c r="F34" s="25" t="s">
        <v>46</v>
      </c>
      <c r="G34" s="30" t="s">
        <v>2</v>
      </c>
      <c r="H34" s="33"/>
      <c r="I34" s="125"/>
      <c r="J34" s="120"/>
      <c r="K34" s="4"/>
      <c r="L34" s="4"/>
      <c r="M34" s="10"/>
    </row>
    <row r="35" spans="1:13" s="2" customFormat="1" ht="25.5" customHeight="1" hidden="1" outlineLevel="1">
      <c r="A35" s="39"/>
      <c r="B35" s="1"/>
      <c r="C35" s="47"/>
      <c r="D35" s="13"/>
      <c r="E35" s="13">
        <v>35</v>
      </c>
      <c r="F35" s="25" t="s">
        <v>47</v>
      </c>
      <c r="G35" s="30" t="s">
        <v>20</v>
      </c>
      <c r="H35" s="33"/>
      <c r="I35" s="125"/>
      <c r="J35" s="120"/>
      <c r="K35" s="4"/>
      <c r="L35" s="4"/>
      <c r="M35" s="10"/>
    </row>
    <row r="36" spans="1:13" s="2" customFormat="1" ht="25.5" customHeight="1" hidden="1" outlineLevel="1">
      <c r="A36" s="39"/>
      <c r="B36" s="1"/>
      <c r="C36" s="47"/>
      <c r="D36" s="13"/>
      <c r="E36" s="13">
        <v>36</v>
      </c>
      <c r="F36" s="25" t="s">
        <v>48</v>
      </c>
      <c r="G36" s="30" t="s">
        <v>2</v>
      </c>
      <c r="H36" s="33"/>
      <c r="I36" s="125"/>
      <c r="J36" s="120"/>
      <c r="K36" s="4"/>
      <c r="L36" s="4"/>
      <c r="M36" s="10"/>
    </row>
    <row r="37" spans="1:13" s="2" customFormat="1" ht="25.5" customHeight="1" hidden="1" outlineLevel="1">
      <c r="A37" s="39"/>
      <c r="B37" s="1"/>
      <c r="C37" s="47"/>
      <c r="D37" s="13"/>
      <c r="E37" s="13">
        <v>37</v>
      </c>
      <c r="F37" s="25" t="s">
        <v>49</v>
      </c>
      <c r="G37" s="30" t="s">
        <v>0</v>
      </c>
      <c r="H37" s="33"/>
      <c r="I37" s="125"/>
      <c r="J37" s="120"/>
      <c r="K37" s="4"/>
      <c r="L37" s="4"/>
      <c r="M37" s="10"/>
    </row>
    <row r="38" spans="1:13" s="2" customFormat="1" ht="25.5" customHeight="1" hidden="1" outlineLevel="1">
      <c r="A38" s="39"/>
      <c r="B38" s="1"/>
      <c r="C38" s="47"/>
      <c r="D38" s="13"/>
      <c r="E38" s="13">
        <v>38</v>
      </c>
      <c r="F38" s="25" t="s">
        <v>50</v>
      </c>
      <c r="G38" s="30" t="s">
        <v>0</v>
      </c>
      <c r="H38" s="33"/>
      <c r="I38" s="125"/>
      <c r="J38" s="120"/>
      <c r="K38" s="4"/>
      <c r="L38" s="4"/>
      <c r="M38" s="10"/>
    </row>
    <row r="39" spans="1:13" s="2" customFormat="1" ht="25.5" customHeight="1" hidden="1" outlineLevel="1">
      <c r="A39" s="39"/>
      <c r="B39" s="1"/>
      <c r="C39" s="47"/>
      <c r="D39" s="13"/>
      <c r="E39" s="13">
        <v>39</v>
      </c>
      <c r="F39" s="25" t="s">
        <v>51</v>
      </c>
      <c r="G39" s="30" t="s">
        <v>20</v>
      </c>
      <c r="H39" s="33"/>
      <c r="I39" s="125"/>
      <c r="J39" s="120"/>
      <c r="K39" s="4"/>
      <c r="L39" s="4"/>
      <c r="M39" s="10"/>
    </row>
    <row r="40" spans="1:13" s="2" customFormat="1" ht="25.5" customHeight="1" hidden="1" outlineLevel="1">
      <c r="A40" s="39"/>
      <c r="B40" s="1"/>
      <c r="C40" s="47"/>
      <c r="D40" s="13"/>
      <c r="E40" s="13">
        <v>40</v>
      </c>
      <c r="F40" s="25" t="s">
        <v>52</v>
      </c>
      <c r="G40" s="30" t="s">
        <v>4</v>
      </c>
      <c r="H40" s="33"/>
      <c r="I40" s="125"/>
      <c r="J40" s="120"/>
      <c r="K40" s="4"/>
      <c r="L40" s="4"/>
      <c r="M40" s="10"/>
    </row>
    <row r="41" spans="1:13" s="2" customFormat="1" ht="25.5" customHeight="1" hidden="1" outlineLevel="1">
      <c r="A41" s="39"/>
      <c r="B41" s="1"/>
      <c r="C41" s="47"/>
      <c r="D41" s="13"/>
      <c r="E41" s="13">
        <v>41</v>
      </c>
      <c r="F41" s="25" t="s">
        <v>53</v>
      </c>
      <c r="G41" s="30" t="s">
        <v>20</v>
      </c>
      <c r="H41" s="33"/>
      <c r="I41" s="125"/>
      <c r="J41" s="120"/>
      <c r="K41" s="4"/>
      <c r="L41" s="4"/>
      <c r="M41" s="10"/>
    </row>
    <row r="42" spans="1:13" s="2" customFormat="1" ht="25.5" customHeight="1" hidden="1" outlineLevel="1">
      <c r="A42" s="39"/>
      <c r="B42" s="1"/>
      <c r="C42" s="47"/>
      <c r="D42" s="13"/>
      <c r="E42" s="13">
        <v>42</v>
      </c>
      <c r="F42" s="25" t="s">
        <v>54</v>
      </c>
      <c r="G42" s="30" t="s">
        <v>20</v>
      </c>
      <c r="H42" s="33"/>
      <c r="I42" s="125"/>
      <c r="J42" s="120"/>
      <c r="K42" s="4"/>
      <c r="L42" s="4"/>
      <c r="M42" s="10"/>
    </row>
    <row r="43" spans="1:13" s="2" customFormat="1" ht="25.5" customHeight="1" hidden="1" outlineLevel="1">
      <c r="A43" s="39"/>
      <c r="B43" s="1"/>
      <c r="C43" s="47"/>
      <c r="D43" s="13"/>
      <c r="E43" s="13">
        <v>43</v>
      </c>
      <c r="F43" s="25" t="s">
        <v>55</v>
      </c>
      <c r="G43" s="30" t="s">
        <v>1</v>
      </c>
      <c r="H43" s="33"/>
      <c r="I43" s="125"/>
      <c r="J43" s="120"/>
      <c r="K43" s="4"/>
      <c r="L43" s="4"/>
      <c r="M43" s="10"/>
    </row>
    <row r="44" spans="1:13" s="2" customFormat="1" ht="25.5" customHeight="1" hidden="1" outlineLevel="1">
      <c r="A44" s="39"/>
      <c r="B44" s="1"/>
      <c r="C44" s="47"/>
      <c r="D44" s="13"/>
      <c r="E44" s="13">
        <v>44</v>
      </c>
      <c r="F44" s="25" t="s">
        <v>56</v>
      </c>
      <c r="G44" s="30" t="s">
        <v>2</v>
      </c>
      <c r="H44" s="33"/>
      <c r="I44" s="125"/>
      <c r="J44" s="120"/>
      <c r="K44" s="4"/>
      <c r="L44" s="4"/>
      <c r="M44" s="10"/>
    </row>
    <row r="45" spans="1:13" s="2" customFormat="1" ht="25.5" customHeight="1" hidden="1" outlineLevel="1">
      <c r="A45" s="39"/>
      <c r="B45" s="1"/>
      <c r="C45" s="47"/>
      <c r="D45" s="13"/>
      <c r="E45" s="13">
        <v>45</v>
      </c>
      <c r="F45" s="25" t="s">
        <v>57</v>
      </c>
      <c r="G45" s="30" t="s">
        <v>3</v>
      </c>
      <c r="H45" s="33"/>
      <c r="I45" s="125"/>
      <c r="J45" s="120"/>
      <c r="K45" s="4"/>
      <c r="L45" s="4"/>
      <c r="M45" s="10"/>
    </row>
    <row r="46" spans="1:13" s="2" customFormat="1" ht="25.5" customHeight="1" hidden="1" outlineLevel="1">
      <c r="A46" s="39"/>
      <c r="B46" s="1"/>
      <c r="C46" s="47"/>
      <c r="D46" s="13"/>
      <c r="E46" s="13">
        <v>46</v>
      </c>
      <c r="F46" s="25" t="s">
        <v>58</v>
      </c>
      <c r="G46" s="30" t="s">
        <v>0</v>
      </c>
      <c r="H46" s="33"/>
      <c r="I46" s="125"/>
      <c r="J46" s="120"/>
      <c r="K46" s="4"/>
      <c r="L46" s="4"/>
      <c r="M46" s="10"/>
    </row>
    <row r="47" spans="1:13" s="2" customFormat="1" ht="25.5" customHeight="1" hidden="1" outlineLevel="1">
      <c r="A47" s="39"/>
      <c r="B47" s="1"/>
      <c r="C47" s="47"/>
      <c r="D47" s="13"/>
      <c r="E47" s="13">
        <v>47</v>
      </c>
      <c r="F47" s="25" t="s">
        <v>59</v>
      </c>
      <c r="G47" s="30" t="s">
        <v>20</v>
      </c>
      <c r="H47" s="33"/>
      <c r="I47" s="125"/>
      <c r="J47" s="120"/>
      <c r="K47" s="4"/>
      <c r="L47" s="4"/>
      <c r="M47" s="10"/>
    </row>
    <row r="48" spans="1:13" s="2" customFormat="1" ht="25.5" customHeight="1" hidden="1" outlineLevel="1">
      <c r="A48" s="39"/>
      <c r="B48" s="1"/>
      <c r="C48" s="47"/>
      <c r="D48" s="13"/>
      <c r="E48" s="13">
        <v>48</v>
      </c>
      <c r="F48" s="25" t="s">
        <v>60</v>
      </c>
      <c r="G48" s="30" t="s">
        <v>0</v>
      </c>
      <c r="H48" s="33"/>
      <c r="I48" s="125"/>
      <c r="J48" s="120"/>
      <c r="K48" s="4"/>
      <c r="L48" s="4"/>
      <c r="M48" s="10"/>
    </row>
    <row r="49" spans="1:13" s="2" customFormat="1" ht="25.5" customHeight="1" hidden="1" outlineLevel="1">
      <c r="A49" s="39"/>
      <c r="B49" s="1"/>
      <c r="C49" s="47"/>
      <c r="D49" s="13"/>
      <c r="E49" s="13">
        <v>49</v>
      </c>
      <c r="F49" s="25" t="s">
        <v>61</v>
      </c>
      <c r="G49" s="30" t="s">
        <v>3</v>
      </c>
      <c r="H49" s="33"/>
      <c r="I49" s="125"/>
      <c r="J49" s="120"/>
      <c r="K49" s="4"/>
      <c r="L49" s="4"/>
      <c r="M49" s="10"/>
    </row>
    <row r="50" spans="1:13" s="2" customFormat="1" ht="25.5" customHeight="1" hidden="1" outlineLevel="1">
      <c r="A50" s="39"/>
      <c r="B50" s="1"/>
      <c r="C50" s="47"/>
      <c r="D50" s="13"/>
      <c r="E50" s="13">
        <v>50</v>
      </c>
      <c r="F50" s="25" t="s">
        <v>62</v>
      </c>
      <c r="G50" s="30" t="s">
        <v>3</v>
      </c>
      <c r="H50" s="33"/>
      <c r="I50" s="125"/>
      <c r="J50" s="120"/>
      <c r="K50" s="4"/>
      <c r="L50" s="4"/>
      <c r="M50" s="10"/>
    </row>
    <row r="51" spans="1:13" s="2" customFormat="1" ht="25.5" customHeight="1" hidden="1" outlineLevel="1">
      <c r="A51" s="39"/>
      <c r="B51" s="1"/>
      <c r="C51" s="47"/>
      <c r="D51" s="13"/>
      <c r="E51" s="13">
        <v>51</v>
      </c>
      <c r="F51" s="25" t="s">
        <v>63</v>
      </c>
      <c r="G51" s="30" t="s">
        <v>3</v>
      </c>
      <c r="H51" s="33"/>
      <c r="I51" s="125"/>
      <c r="J51" s="120"/>
      <c r="K51" s="4"/>
      <c r="L51" s="4"/>
      <c r="M51" s="10"/>
    </row>
    <row r="52" spans="1:13" s="2" customFormat="1" ht="25.5" customHeight="1" hidden="1" outlineLevel="1">
      <c r="A52" s="39"/>
      <c r="B52" s="1"/>
      <c r="C52" s="47"/>
      <c r="D52" s="13"/>
      <c r="E52" s="13">
        <v>52</v>
      </c>
      <c r="F52" s="25" t="s">
        <v>64</v>
      </c>
      <c r="G52" s="30" t="s">
        <v>2</v>
      </c>
      <c r="H52" s="33"/>
      <c r="I52" s="125"/>
      <c r="J52" s="120"/>
      <c r="K52" s="4"/>
      <c r="L52" s="4"/>
      <c r="M52" s="10"/>
    </row>
    <row r="53" spans="1:13" s="2" customFormat="1" ht="25.5" customHeight="1" hidden="1" outlineLevel="1">
      <c r="A53" s="39"/>
      <c r="B53" s="1"/>
      <c r="C53" s="47"/>
      <c r="D53" s="13"/>
      <c r="E53" s="13">
        <v>53</v>
      </c>
      <c r="F53" s="25" t="s">
        <v>65</v>
      </c>
      <c r="G53" s="30" t="s">
        <v>2</v>
      </c>
      <c r="H53" s="33"/>
      <c r="I53" s="125"/>
      <c r="J53" s="120"/>
      <c r="K53" s="4"/>
      <c r="L53" s="4"/>
      <c r="M53" s="10"/>
    </row>
    <row r="54" spans="1:13" s="2" customFormat="1" ht="25.5" customHeight="1" hidden="1" outlineLevel="1">
      <c r="A54" s="39"/>
      <c r="B54" s="1"/>
      <c r="C54" s="47"/>
      <c r="D54" s="13"/>
      <c r="E54" s="13">
        <v>54</v>
      </c>
      <c r="F54" s="25" t="s">
        <v>66</v>
      </c>
      <c r="G54" s="30" t="s">
        <v>20</v>
      </c>
      <c r="H54" s="33"/>
      <c r="I54" s="125"/>
      <c r="J54" s="120"/>
      <c r="K54" s="4"/>
      <c r="L54" s="4"/>
      <c r="M54" s="10"/>
    </row>
    <row r="55" spans="1:13" s="2" customFormat="1" ht="25.5" customHeight="1" hidden="1" outlineLevel="1">
      <c r="A55" s="39"/>
      <c r="B55" s="1"/>
      <c r="C55" s="47"/>
      <c r="D55" s="13"/>
      <c r="E55" s="13">
        <v>55</v>
      </c>
      <c r="F55" s="25" t="s">
        <v>67</v>
      </c>
      <c r="G55" s="30" t="s">
        <v>20</v>
      </c>
      <c r="H55" s="33"/>
      <c r="I55" s="125"/>
      <c r="J55" s="120"/>
      <c r="K55" s="4"/>
      <c r="L55" s="4"/>
      <c r="M55" s="10"/>
    </row>
    <row r="56" spans="1:13" s="2" customFormat="1" ht="25.5" customHeight="1" hidden="1" outlineLevel="1">
      <c r="A56" s="39"/>
      <c r="B56" s="1"/>
      <c r="C56" s="47"/>
      <c r="D56" s="13"/>
      <c r="E56" s="13">
        <v>56</v>
      </c>
      <c r="F56" s="25" t="s">
        <v>68</v>
      </c>
      <c r="G56" s="30" t="s">
        <v>1</v>
      </c>
      <c r="H56" s="33"/>
      <c r="I56" s="125"/>
      <c r="J56" s="120"/>
      <c r="K56" s="4"/>
      <c r="L56" s="4"/>
      <c r="M56" s="10"/>
    </row>
    <row r="57" spans="1:13" s="2" customFormat="1" ht="25.5" customHeight="1" hidden="1" outlineLevel="1">
      <c r="A57" s="39"/>
      <c r="B57" s="1"/>
      <c r="C57" s="47"/>
      <c r="D57" s="13"/>
      <c r="E57" s="13">
        <v>57</v>
      </c>
      <c r="F57" s="25" t="s">
        <v>69</v>
      </c>
      <c r="G57" s="30" t="s">
        <v>3</v>
      </c>
      <c r="H57" s="33"/>
      <c r="I57" s="125"/>
      <c r="J57" s="120"/>
      <c r="K57" s="4"/>
      <c r="L57" s="4"/>
      <c r="M57" s="10"/>
    </row>
    <row r="58" spans="1:13" s="2" customFormat="1" ht="25.5" customHeight="1" hidden="1" outlineLevel="1">
      <c r="A58" s="39"/>
      <c r="B58" s="1"/>
      <c r="C58" s="47"/>
      <c r="D58" s="13"/>
      <c r="E58" s="13">
        <v>58</v>
      </c>
      <c r="F58" s="25" t="s">
        <v>70</v>
      </c>
      <c r="G58" s="30" t="s">
        <v>20</v>
      </c>
      <c r="H58" s="33"/>
      <c r="I58" s="125"/>
      <c r="J58" s="120"/>
      <c r="K58" s="4"/>
      <c r="L58" s="4"/>
      <c r="M58" s="10"/>
    </row>
    <row r="59" spans="1:13" s="2" customFormat="1" ht="25.5" customHeight="1" hidden="1" outlineLevel="1">
      <c r="A59" s="39"/>
      <c r="B59" s="1"/>
      <c r="C59" s="47"/>
      <c r="D59" s="13"/>
      <c r="E59" s="13">
        <v>59</v>
      </c>
      <c r="F59" s="25" t="s">
        <v>71</v>
      </c>
      <c r="G59" s="30" t="s">
        <v>0</v>
      </c>
      <c r="H59" s="33"/>
      <c r="I59" s="125"/>
      <c r="J59" s="120"/>
      <c r="K59" s="4"/>
      <c r="L59" s="4"/>
      <c r="M59" s="10"/>
    </row>
    <row r="60" spans="1:13" s="2" customFormat="1" ht="25.5" customHeight="1" hidden="1" outlineLevel="1">
      <c r="A60" s="39"/>
      <c r="B60" s="1"/>
      <c r="C60" s="47"/>
      <c r="D60" s="13"/>
      <c r="E60" s="13">
        <v>60</v>
      </c>
      <c r="F60" s="25" t="s">
        <v>72</v>
      </c>
      <c r="G60" s="30" t="s">
        <v>0</v>
      </c>
      <c r="H60" s="33"/>
      <c r="I60" s="125"/>
      <c r="J60" s="120"/>
      <c r="K60" s="4"/>
      <c r="L60" s="4"/>
      <c r="M60" s="10"/>
    </row>
    <row r="61" spans="1:13" s="2" customFormat="1" ht="25.5" customHeight="1" hidden="1" outlineLevel="1">
      <c r="A61" s="39"/>
      <c r="B61" s="1"/>
      <c r="C61" s="47"/>
      <c r="D61" s="13"/>
      <c r="E61" s="13">
        <v>61</v>
      </c>
      <c r="F61" s="25" t="s">
        <v>73</v>
      </c>
      <c r="G61" s="30" t="s">
        <v>3</v>
      </c>
      <c r="H61" s="33"/>
      <c r="I61" s="125"/>
      <c r="J61" s="120"/>
      <c r="K61" s="4"/>
      <c r="L61" s="4"/>
      <c r="M61" s="10"/>
    </row>
    <row r="62" spans="1:13" s="2" customFormat="1" ht="25.5" customHeight="1" hidden="1" outlineLevel="1">
      <c r="A62" s="39"/>
      <c r="B62" s="1"/>
      <c r="C62" s="47"/>
      <c r="D62" s="13"/>
      <c r="E62" s="13">
        <v>62</v>
      </c>
      <c r="F62" s="25" t="s">
        <v>74</v>
      </c>
      <c r="G62" s="30" t="s">
        <v>4</v>
      </c>
      <c r="H62" s="33"/>
      <c r="I62" s="125"/>
      <c r="J62" s="120"/>
      <c r="K62" s="4"/>
      <c r="L62" s="4"/>
      <c r="M62" s="10"/>
    </row>
    <row r="63" spans="1:13" s="2" customFormat="1" ht="25.5" customHeight="1" hidden="1" outlineLevel="1">
      <c r="A63" s="39"/>
      <c r="B63" s="1"/>
      <c r="C63" s="47"/>
      <c r="D63" s="13"/>
      <c r="E63" s="13">
        <v>63</v>
      </c>
      <c r="F63" s="25" t="s">
        <v>75</v>
      </c>
      <c r="G63" s="30" t="s">
        <v>20</v>
      </c>
      <c r="H63" s="33"/>
      <c r="I63" s="125"/>
      <c r="J63" s="120"/>
      <c r="K63" s="4"/>
      <c r="L63" s="4"/>
      <c r="M63" s="10"/>
    </row>
    <row r="64" spans="1:13" s="2" customFormat="1" ht="25.5" customHeight="1" hidden="1" outlineLevel="1">
      <c r="A64" s="39"/>
      <c r="B64" s="1"/>
      <c r="C64" s="47"/>
      <c r="D64" s="13"/>
      <c r="E64" s="13">
        <v>64</v>
      </c>
      <c r="F64" s="25" t="s">
        <v>76</v>
      </c>
      <c r="G64" s="30" t="s">
        <v>100</v>
      </c>
      <c r="H64" s="33"/>
      <c r="I64" s="125"/>
      <c r="J64" s="120"/>
      <c r="K64" s="4"/>
      <c r="L64" s="4"/>
      <c r="M64" s="10"/>
    </row>
    <row r="65" spans="1:13" s="2" customFormat="1" ht="25.5" customHeight="1" hidden="1" outlineLevel="1">
      <c r="A65" s="39"/>
      <c r="B65" s="1"/>
      <c r="C65" s="47"/>
      <c r="D65" s="13"/>
      <c r="E65" s="13">
        <v>65</v>
      </c>
      <c r="F65" s="25" t="s">
        <v>77</v>
      </c>
      <c r="G65" s="30" t="s">
        <v>100</v>
      </c>
      <c r="H65" s="33"/>
      <c r="I65" s="125"/>
      <c r="J65" s="120"/>
      <c r="K65" s="4"/>
      <c r="L65" s="4"/>
      <c r="M65" s="10"/>
    </row>
    <row r="66" spans="1:13" s="2" customFormat="1" ht="25.5" customHeight="1" hidden="1" outlineLevel="1">
      <c r="A66" s="39"/>
      <c r="B66" s="1"/>
      <c r="C66" s="47"/>
      <c r="D66" s="13"/>
      <c r="E66" s="13">
        <v>66</v>
      </c>
      <c r="F66" s="25" t="s">
        <v>78</v>
      </c>
      <c r="G66" s="30" t="s">
        <v>20</v>
      </c>
      <c r="H66" s="33"/>
      <c r="I66" s="125"/>
      <c r="J66" s="120"/>
      <c r="K66" s="4"/>
      <c r="L66" s="4"/>
      <c r="M66" s="10"/>
    </row>
    <row r="67" spans="1:13" s="2" customFormat="1" ht="25.5" customHeight="1" hidden="1" outlineLevel="1">
      <c r="A67" s="39"/>
      <c r="B67" s="1"/>
      <c r="C67" s="47"/>
      <c r="D67" s="13"/>
      <c r="E67" s="13">
        <v>67</v>
      </c>
      <c r="F67" s="25" t="s">
        <v>79</v>
      </c>
      <c r="G67" s="30" t="s">
        <v>1</v>
      </c>
      <c r="H67" s="33"/>
      <c r="I67" s="125"/>
      <c r="J67" s="120"/>
      <c r="K67" s="4"/>
      <c r="L67" s="4"/>
      <c r="M67" s="10"/>
    </row>
    <row r="68" spans="1:13" s="2" customFormat="1" ht="25.5" customHeight="1" hidden="1" outlineLevel="1">
      <c r="A68" s="39"/>
      <c r="B68" s="1"/>
      <c r="C68" s="47"/>
      <c r="D68" s="13"/>
      <c r="E68" s="13">
        <v>68</v>
      </c>
      <c r="F68" s="25" t="s">
        <v>80</v>
      </c>
      <c r="G68" s="30" t="s">
        <v>29</v>
      </c>
      <c r="H68" s="33"/>
      <c r="I68" s="125"/>
      <c r="J68" s="120"/>
      <c r="K68" s="4"/>
      <c r="L68" s="4"/>
      <c r="M68" s="10"/>
    </row>
    <row r="69" spans="1:13" s="2" customFormat="1" ht="25.5" customHeight="1" hidden="1" outlineLevel="1">
      <c r="A69" s="39"/>
      <c r="B69" s="1"/>
      <c r="C69" s="47"/>
      <c r="D69" s="13"/>
      <c r="E69" s="13">
        <v>69</v>
      </c>
      <c r="F69" s="25" t="s">
        <v>81</v>
      </c>
      <c r="G69" s="30" t="s">
        <v>4</v>
      </c>
      <c r="H69" s="33"/>
      <c r="I69" s="125"/>
      <c r="J69" s="120"/>
      <c r="K69" s="4"/>
      <c r="L69" s="4"/>
      <c r="M69" s="10"/>
    </row>
    <row r="70" spans="1:13" s="2" customFormat="1" ht="25.5" customHeight="1" hidden="1" outlineLevel="1">
      <c r="A70" s="39"/>
      <c r="B70" s="1"/>
      <c r="C70" s="47"/>
      <c r="D70" s="13"/>
      <c r="E70" s="13">
        <v>70</v>
      </c>
      <c r="F70" s="25" t="s">
        <v>82</v>
      </c>
      <c r="G70" s="30" t="s">
        <v>3</v>
      </c>
      <c r="H70" s="33"/>
      <c r="I70" s="125"/>
      <c r="J70" s="120"/>
      <c r="K70" s="4"/>
      <c r="L70" s="4"/>
      <c r="M70" s="10"/>
    </row>
    <row r="71" spans="1:13" s="2" customFormat="1" ht="25.5" customHeight="1" hidden="1" outlineLevel="1">
      <c r="A71" s="39"/>
      <c r="B71" s="1"/>
      <c r="C71" s="47"/>
      <c r="D71" s="13"/>
      <c r="E71" s="13">
        <v>71</v>
      </c>
      <c r="F71" s="25" t="s">
        <v>83</v>
      </c>
      <c r="G71" s="30" t="s">
        <v>4</v>
      </c>
      <c r="H71" s="33"/>
      <c r="I71" s="125"/>
      <c r="J71" s="120"/>
      <c r="K71" s="4"/>
      <c r="L71" s="4"/>
      <c r="M71" s="10"/>
    </row>
    <row r="72" spans="1:13" s="2" customFormat="1" ht="25.5" customHeight="1" hidden="1" outlineLevel="1">
      <c r="A72" s="39"/>
      <c r="B72" s="1"/>
      <c r="C72" s="47"/>
      <c r="D72" s="13"/>
      <c r="E72" s="13">
        <v>72</v>
      </c>
      <c r="F72" s="25" t="s">
        <v>84</v>
      </c>
      <c r="G72" s="30" t="s">
        <v>4</v>
      </c>
      <c r="H72" s="33"/>
      <c r="I72" s="125"/>
      <c r="J72" s="120"/>
      <c r="K72" s="4"/>
      <c r="L72" s="4"/>
      <c r="M72" s="10"/>
    </row>
    <row r="73" spans="1:13" s="2" customFormat="1" ht="25.5" customHeight="1" hidden="1" outlineLevel="1">
      <c r="A73" s="39"/>
      <c r="B73" s="1"/>
      <c r="C73" s="47"/>
      <c r="D73" s="13"/>
      <c r="E73" s="13">
        <v>73</v>
      </c>
      <c r="F73" s="25" t="s">
        <v>85</v>
      </c>
      <c r="G73" s="30" t="s">
        <v>0</v>
      </c>
      <c r="H73" s="33"/>
      <c r="I73" s="125"/>
      <c r="J73" s="120"/>
      <c r="K73" s="4"/>
      <c r="L73" s="4"/>
      <c r="M73" s="10"/>
    </row>
    <row r="74" spans="1:13" s="2" customFormat="1" ht="25.5" customHeight="1" hidden="1" outlineLevel="1">
      <c r="A74" s="39"/>
      <c r="B74" s="1"/>
      <c r="C74" s="47"/>
      <c r="D74" s="13"/>
      <c r="E74" s="13">
        <v>74</v>
      </c>
      <c r="F74" s="25" t="s">
        <v>86</v>
      </c>
      <c r="G74" s="30" t="s">
        <v>4</v>
      </c>
      <c r="H74" s="33"/>
      <c r="I74" s="125"/>
      <c r="J74" s="120"/>
      <c r="K74" s="4"/>
      <c r="L74" s="4"/>
      <c r="M74" s="10"/>
    </row>
    <row r="75" spans="1:13" s="2" customFormat="1" ht="25.5" customHeight="1" hidden="1" outlineLevel="1">
      <c r="A75" s="39"/>
      <c r="B75" s="1"/>
      <c r="C75" s="47"/>
      <c r="D75" s="13"/>
      <c r="E75" s="13">
        <v>75</v>
      </c>
      <c r="F75" s="25" t="s">
        <v>87</v>
      </c>
      <c r="G75" s="30" t="s">
        <v>29</v>
      </c>
      <c r="H75" s="33"/>
      <c r="I75" s="125"/>
      <c r="J75" s="120"/>
      <c r="K75" s="4"/>
      <c r="L75" s="4"/>
      <c r="M75" s="10"/>
    </row>
    <row r="76" spans="1:13" s="2" customFormat="1" ht="25.5" customHeight="1" hidden="1" outlineLevel="1">
      <c r="A76" s="39"/>
      <c r="B76" s="1"/>
      <c r="C76" s="47"/>
      <c r="D76" s="13"/>
      <c r="E76" s="13">
        <v>76</v>
      </c>
      <c r="F76" s="25" t="s">
        <v>88</v>
      </c>
      <c r="G76" s="30" t="s">
        <v>20</v>
      </c>
      <c r="H76" s="33"/>
      <c r="I76" s="125"/>
      <c r="J76" s="120"/>
      <c r="K76" s="4"/>
      <c r="L76" s="4"/>
      <c r="M76" s="10"/>
    </row>
    <row r="77" spans="1:13" s="2" customFormat="1" ht="25.5" customHeight="1" hidden="1" outlineLevel="1">
      <c r="A77" s="39"/>
      <c r="B77" s="1"/>
      <c r="C77" s="47"/>
      <c r="D77" s="13"/>
      <c r="E77" s="13">
        <v>77</v>
      </c>
      <c r="F77" s="25" t="s">
        <v>89</v>
      </c>
      <c r="G77" s="30" t="s">
        <v>20</v>
      </c>
      <c r="H77" s="33"/>
      <c r="I77" s="125"/>
      <c r="J77" s="120"/>
      <c r="K77" s="4"/>
      <c r="L77" s="4"/>
      <c r="M77" s="10"/>
    </row>
    <row r="78" spans="1:13" s="2" customFormat="1" ht="25.5" customHeight="1" hidden="1" outlineLevel="1">
      <c r="A78" s="39"/>
      <c r="B78" s="1"/>
      <c r="C78" s="47"/>
      <c r="D78" s="13"/>
      <c r="E78" s="13">
        <v>78</v>
      </c>
      <c r="F78" s="25" t="s">
        <v>90</v>
      </c>
      <c r="G78" s="30" t="s">
        <v>1</v>
      </c>
      <c r="H78" s="33"/>
      <c r="I78" s="125"/>
      <c r="J78" s="120"/>
      <c r="K78" s="4"/>
      <c r="L78" s="4"/>
      <c r="M78" s="10"/>
    </row>
    <row r="79" spans="1:13" s="2" customFormat="1" ht="25.5" customHeight="1" hidden="1" outlineLevel="1">
      <c r="A79" s="39"/>
      <c r="B79" s="1"/>
      <c r="C79" s="47"/>
      <c r="D79" s="13"/>
      <c r="E79" s="13">
        <v>79</v>
      </c>
      <c r="F79" s="25" t="s">
        <v>91</v>
      </c>
      <c r="G79" s="30" t="s">
        <v>29</v>
      </c>
      <c r="H79" s="33"/>
      <c r="I79" s="125"/>
      <c r="J79" s="120"/>
      <c r="K79" s="4"/>
      <c r="L79" s="4"/>
      <c r="M79" s="10"/>
    </row>
    <row r="80" spans="1:13" s="2" customFormat="1" ht="25.5" customHeight="1" hidden="1" outlineLevel="1">
      <c r="A80" s="39"/>
      <c r="B80" s="1"/>
      <c r="C80" s="47"/>
      <c r="D80" s="13"/>
      <c r="E80" s="13">
        <v>80</v>
      </c>
      <c r="F80" s="25" t="s">
        <v>92</v>
      </c>
      <c r="G80" s="30" t="s">
        <v>29</v>
      </c>
      <c r="H80" s="33"/>
      <c r="I80" s="125"/>
      <c r="J80" s="120"/>
      <c r="K80" s="4"/>
      <c r="L80" s="4"/>
      <c r="M80" s="10"/>
    </row>
    <row r="81" spans="1:13" s="2" customFormat="1" ht="25.5" customHeight="1" hidden="1" outlineLevel="1">
      <c r="A81" s="39"/>
      <c r="B81" s="1"/>
      <c r="C81" s="47"/>
      <c r="D81" s="13"/>
      <c r="E81" s="13">
        <v>81</v>
      </c>
      <c r="F81" s="25" t="s">
        <v>93</v>
      </c>
      <c r="G81" s="30" t="s">
        <v>3</v>
      </c>
      <c r="H81" s="33"/>
      <c r="I81" s="125"/>
      <c r="J81" s="120"/>
      <c r="K81" s="4"/>
      <c r="L81" s="4"/>
      <c r="M81" s="10"/>
    </row>
    <row r="82" spans="1:13" s="2" customFormat="1" ht="25.5" customHeight="1" hidden="1" outlineLevel="1">
      <c r="A82" s="39"/>
      <c r="B82" s="1"/>
      <c r="C82" s="47"/>
      <c r="D82" s="13"/>
      <c r="E82" s="13">
        <v>82</v>
      </c>
      <c r="F82" s="25" t="s">
        <v>94</v>
      </c>
      <c r="G82" s="30" t="s">
        <v>20</v>
      </c>
      <c r="H82" s="33"/>
      <c r="I82" s="125"/>
      <c r="J82" s="120"/>
      <c r="K82" s="4"/>
      <c r="L82" s="4"/>
      <c r="M82" s="10"/>
    </row>
    <row r="83" spans="1:13" s="2" customFormat="1" ht="25.5" customHeight="1" hidden="1" outlineLevel="1">
      <c r="A83" s="39"/>
      <c r="B83" s="1"/>
      <c r="C83" s="47"/>
      <c r="D83" s="13"/>
      <c r="E83" s="13">
        <v>83</v>
      </c>
      <c r="F83" s="25" t="s">
        <v>95</v>
      </c>
      <c r="G83" s="30" t="s">
        <v>1</v>
      </c>
      <c r="H83" s="33"/>
      <c r="I83" s="125"/>
      <c r="J83" s="120"/>
      <c r="K83" s="4"/>
      <c r="L83" s="4"/>
      <c r="M83" s="10"/>
    </row>
    <row r="84" spans="1:13" s="2" customFormat="1" ht="25.5" customHeight="1" hidden="1" outlineLevel="1">
      <c r="A84" s="39"/>
      <c r="B84" s="1"/>
      <c r="C84" s="47"/>
      <c r="D84" s="13"/>
      <c r="E84" s="13">
        <v>84</v>
      </c>
      <c r="F84" s="25" t="s">
        <v>96</v>
      </c>
      <c r="G84" s="30" t="s">
        <v>29</v>
      </c>
      <c r="H84" s="33"/>
      <c r="I84" s="125"/>
      <c r="J84" s="120"/>
      <c r="K84" s="4"/>
      <c r="L84" s="4"/>
      <c r="M84" s="10"/>
    </row>
    <row r="85" spans="1:13" s="2" customFormat="1" ht="25.5" customHeight="1" hidden="1" outlineLevel="1">
      <c r="A85" s="39"/>
      <c r="B85" s="1"/>
      <c r="C85" s="47"/>
      <c r="D85" s="13"/>
      <c r="E85" s="13">
        <v>85</v>
      </c>
      <c r="F85" s="25" t="s">
        <v>97</v>
      </c>
      <c r="G85" s="30" t="s">
        <v>4</v>
      </c>
      <c r="H85" s="33"/>
      <c r="I85" s="125"/>
      <c r="J85" s="120"/>
      <c r="K85" s="4"/>
      <c r="L85" s="4"/>
      <c r="M85" s="10"/>
    </row>
    <row r="86" spans="1:13" s="2" customFormat="1" ht="25.5" customHeight="1" hidden="1" outlineLevel="1">
      <c r="A86" s="39"/>
      <c r="B86" s="1"/>
      <c r="C86" s="47"/>
      <c r="D86" s="13"/>
      <c r="E86" s="13">
        <v>86</v>
      </c>
      <c r="F86" s="25" t="s">
        <v>116</v>
      </c>
      <c r="G86" s="31"/>
      <c r="H86" s="33"/>
      <c r="I86" s="125"/>
      <c r="J86" s="120"/>
      <c r="K86" s="4"/>
      <c r="L86" s="4"/>
      <c r="M86" s="10"/>
    </row>
    <row r="87" spans="1:13" s="2" customFormat="1" ht="25.5" customHeight="1" hidden="1" outlineLevel="1">
      <c r="A87" s="39"/>
      <c r="B87" s="1"/>
      <c r="C87" s="47"/>
      <c r="D87" s="13"/>
      <c r="E87" s="13">
        <v>87</v>
      </c>
      <c r="F87" s="25" t="s">
        <v>117</v>
      </c>
      <c r="G87" s="31"/>
      <c r="H87" s="33"/>
      <c r="I87" s="125"/>
      <c r="J87" s="120"/>
      <c r="K87" s="4"/>
      <c r="L87" s="4"/>
      <c r="M87" s="10"/>
    </row>
    <row r="88" spans="1:13" s="2" customFormat="1" ht="25.5" customHeight="1" hidden="1" outlineLevel="1">
      <c r="A88" s="39"/>
      <c r="B88" s="1"/>
      <c r="C88" s="47"/>
      <c r="D88" s="13"/>
      <c r="E88" s="13">
        <v>88</v>
      </c>
      <c r="F88" s="25" t="s">
        <v>98</v>
      </c>
      <c r="G88" s="31"/>
      <c r="H88" s="33"/>
      <c r="I88" s="125"/>
      <c r="J88" s="120"/>
      <c r="K88" s="4"/>
      <c r="L88" s="4"/>
      <c r="M88" s="10"/>
    </row>
    <row r="89" spans="1:13" s="2" customFormat="1" ht="25.5" customHeight="1" hidden="1" outlineLevel="1">
      <c r="A89" s="39"/>
      <c r="B89" s="44"/>
      <c r="C89" s="48"/>
      <c r="D89" s="13"/>
      <c r="E89" s="13">
        <v>89</v>
      </c>
      <c r="F89" s="25" t="s">
        <v>99</v>
      </c>
      <c r="G89" s="31"/>
      <c r="H89" s="33"/>
      <c r="I89" s="125"/>
      <c r="J89" s="120"/>
      <c r="K89" s="4"/>
      <c r="L89" s="4"/>
      <c r="M89" s="10"/>
    </row>
    <row r="90" spans="1:13" s="2" customFormat="1" ht="25.5" customHeight="1" hidden="1" outlineLevel="1">
      <c r="A90" s="39"/>
      <c r="B90" s="44"/>
      <c r="C90" s="48"/>
      <c r="D90" s="13"/>
      <c r="E90" s="13"/>
      <c r="F90" s="26"/>
      <c r="G90" s="27"/>
      <c r="H90" s="33"/>
      <c r="I90" s="125"/>
      <c r="J90" s="120"/>
      <c r="K90" s="4"/>
      <c r="L90" s="4"/>
      <c r="M90" s="10"/>
    </row>
    <row r="91" spans="1:13" s="2" customFormat="1" ht="18.75" customHeight="1" hidden="1" outlineLevel="1">
      <c r="A91" s="39"/>
      <c r="B91" s="44"/>
      <c r="C91" s="48"/>
      <c r="D91" s="13"/>
      <c r="E91" s="13"/>
      <c r="F91" s="26"/>
      <c r="G91" s="27"/>
      <c r="H91" s="33"/>
      <c r="I91" s="125"/>
      <c r="J91" s="120"/>
      <c r="K91" s="4"/>
      <c r="L91" s="4"/>
      <c r="M91" s="10"/>
    </row>
    <row r="92" spans="1:13" s="2" customFormat="1" ht="18.75" customHeight="1" hidden="1" outlineLevel="1">
      <c r="A92" s="39"/>
      <c r="B92" s="44"/>
      <c r="C92" s="48"/>
      <c r="D92" s="13"/>
      <c r="E92" s="13"/>
      <c r="F92" s="26"/>
      <c r="G92" s="27"/>
      <c r="H92" s="33"/>
      <c r="I92" s="125"/>
      <c r="J92" s="120"/>
      <c r="K92" s="4"/>
      <c r="L92" s="4"/>
      <c r="M92" s="10"/>
    </row>
    <row r="93" spans="1:13" s="2" customFormat="1" ht="18.75" customHeight="1" hidden="1" outlineLevel="1">
      <c r="A93" s="39"/>
      <c r="B93" s="45"/>
      <c r="C93" s="49"/>
      <c r="D93" s="13"/>
      <c r="E93" s="13"/>
      <c r="F93" s="26"/>
      <c r="G93" s="27"/>
      <c r="H93" s="33"/>
      <c r="I93" s="125"/>
      <c r="J93" s="120"/>
      <c r="K93" s="4"/>
      <c r="L93" s="4"/>
      <c r="M93" s="10"/>
    </row>
    <row r="94" spans="1:13" s="2" customFormat="1" ht="18.75" customHeight="1" hidden="1" outlineLevel="1">
      <c r="A94" s="39"/>
      <c r="B94" s="45"/>
      <c r="C94" s="49"/>
      <c r="D94" s="13"/>
      <c r="E94" s="13"/>
      <c r="F94" s="26"/>
      <c r="G94" s="27"/>
      <c r="H94" s="33"/>
      <c r="I94" s="125"/>
      <c r="J94" s="120"/>
      <c r="K94" s="4"/>
      <c r="L94" s="4"/>
      <c r="M94" s="10"/>
    </row>
    <row r="95" spans="1:13" s="2" customFormat="1" ht="25.5" customHeight="1" hidden="1" outlineLevel="1">
      <c r="A95" s="39"/>
      <c r="B95" s="45"/>
      <c r="C95" s="49"/>
      <c r="D95" s="13"/>
      <c r="E95" s="13"/>
      <c r="F95" s="27"/>
      <c r="G95" s="27"/>
      <c r="H95" s="33"/>
      <c r="I95" s="125"/>
      <c r="J95" s="120"/>
      <c r="K95" s="4"/>
      <c r="L95" s="4"/>
      <c r="M95" s="10"/>
    </row>
    <row r="96" spans="1:13" s="2" customFormat="1" ht="25.5" customHeight="1" hidden="1" outlineLevel="1">
      <c r="A96" s="39"/>
      <c r="B96" s="45"/>
      <c r="C96" s="49"/>
      <c r="D96" s="13"/>
      <c r="E96" s="13"/>
      <c r="F96" s="27"/>
      <c r="G96" s="27"/>
      <c r="H96" s="33"/>
      <c r="I96" s="125"/>
      <c r="J96" s="120"/>
      <c r="K96" s="4"/>
      <c r="L96" s="4"/>
      <c r="M96" s="10"/>
    </row>
    <row r="97" spans="1:13" s="2" customFormat="1" ht="25.5" customHeight="1" hidden="1" outlineLevel="1">
      <c r="A97" s="39"/>
      <c r="B97" s="45"/>
      <c r="C97" s="49"/>
      <c r="D97" s="13"/>
      <c r="E97" s="13"/>
      <c r="F97" s="27"/>
      <c r="G97" s="27"/>
      <c r="H97" s="33"/>
      <c r="I97" s="125"/>
      <c r="J97" s="120"/>
      <c r="K97" s="4"/>
      <c r="L97" s="4"/>
      <c r="M97" s="10"/>
    </row>
    <row r="98" spans="1:13" s="2" customFormat="1" ht="25.5" customHeight="1" hidden="1" outlineLevel="1">
      <c r="A98" s="39"/>
      <c r="B98" s="45"/>
      <c r="C98" s="49"/>
      <c r="D98" s="13"/>
      <c r="E98" s="13"/>
      <c r="F98" s="27"/>
      <c r="G98" s="27"/>
      <c r="H98" s="33"/>
      <c r="I98" s="125"/>
      <c r="J98" s="120"/>
      <c r="K98" s="4"/>
      <c r="L98" s="4"/>
      <c r="M98" s="10"/>
    </row>
    <row r="99" spans="1:13" s="23" customFormat="1" ht="16.5" customHeight="1" collapsed="1" thickBot="1">
      <c r="A99" s="40"/>
      <c r="B99" s="40"/>
      <c r="C99" s="50"/>
      <c r="D99" s="14"/>
      <c r="E99" s="14"/>
      <c r="F99" s="136" t="s">
        <v>175</v>
      </c>
      <c r="G99" s="32"/>
      <c r="H99" s="34"/>
      <c r="I99" s="126"/>
      <c r="J99" s="121"/>
      <c r="K99" s="244" t="s">
        <v>180</v>
      </c>
      <c r="L99" s="21"/>
      <c r="M99" s="11"/>
    </row>
    <row r="100" spans="1:13" s="23" customFormat="1" ht="16.5" customHeight="1" thickBot="1">
      <c r="A100" s="40"/>
      <c r="B100" s="40"/>
      <c r="C100" s="50"/>
      <c r="D100" s="14"/>
      <c r="E100" s="14"/>
      <c r="F100" s="136"/>
      <c r="G100" s="32"/>
      <c r="H100" s="34"/>
      <c r="I100" s="126"/>
      <c r="J100" s="121"/>
      <c r="K100" s="21"/>
      <c r="L100" s="21"/>
      <c r="M100" s="11"/>
    </row>
    <row r="101" spans="1:13" s="24" customFormat="1" ht="39" customHeight="1">
      <c r="A101" s="142" t="s">
        <v>114</v>
      </c>
      <c r="B101" s="143" t="s">
        <v>112</v>
      </c>
      <c r="C101" s="144" t="s">
        <v>115</v>
      </c>
      <c r="D101" s="145" t="s">
        <v>105</v>
      </c>
      <c r="E101" s="146" t="s">
        <v>102</v>
      </c>
      <c r="F101" s="147" t="s">
        <v>103</v>
      </c>
      <c r="G101" s="147" t="s">
        <v>110</v>
      </c>
      <c r="H101" s="148" t="s">
        <v>106</v>
      </c>
      <c r="I101" s="149" t="s">
        <v>113</v>
      </c>
      <c r="J101" s="149" t="s">
        <v>104</v>
      </c>
      <c r="K101" s="145" t="s">
        <v>111</v>
      </c>
      <c r="L101" s="145" t="s">
        <v>119</v>
      </c>
      <c r="M101" s="150" t="s">
        <v>101</v>
      </c>
    </row>
    <row r="102" spans="1:13" s="138" customFormat="1" ht="24.75" customHeight="1">
      <c r="A102" s="178">
        <v>301</v>
      </c>
      <c r="B102" s="212" t="s">
        <v>156</v>
      </c>
      <c r="C102" s="179"/>
      <c r="D102" s="154" t="s">
        <v>158</v>
      </c>
      <c r="E102" s="151">
        <v>1</v>
      </c>
      <c r="F102" s="186"/>
      <c r="G102" s="180"/>
      <c r="H102" s="187"/>
      <c r="I102" s="151" t="s">
        <v>161</v>
      </c>
      <c r="J102" s="151" t="s">
        <v>162</v>
      </c>
      <c r="K102" s="188" t="s">
        <v>173</v>
      </c>
      <c r="L102" s="188" t="s">
        <v>174</v>
      </c>
      <c r="M102" s="189">
        <v>1500</v>
      </c>
    </row>
    <row r="103" spans="1:13" s="138" customFormat="1" ht="24.75" customHeight="1">
      <c r="A103" s="178">
        <v>302</v>
      </c>
      <c r="B103" s="212" t="s">
        <v>157</v>
      </c>
      <c r="C103" s="179"/>
      <c r="D103" s="154" t="s">
        <v>158</v>
      </c>
      <c r="E103" s="151">
        <v>2</v>
      </c>
      <c r="F103" s="186"/>
      <c r="G103" s="180"/>
      <c r="H103" s="187"/>
      <c r="I103" s="151" t="s">
        <v>161</v>
      </c>
      <c r="J103" s="151" t="s">
        <v>163</v>
      </c>
      <c r="K103" s="188" t="s">
        <v>177</v>
      </c>
      <c r="L103" s="188" t="s">
        <v>176</v>
      </c>
      <c r="M103" s="189">
        <v>400</v>
      </c>
    </row>
    <row r="104" spans="1:13" s="138" customFormat="1" ht="24.75" customHeight="1">
      <c r="A104" s="178">
        <v>303</v>
      </c>
      <c r="B104" s="212" t="s">
        <v>159</v>
      </c>
      <c r="C104" s="179"/>
      <c r="D104" s="154" t="s">
        <v>160</v>
      </c>
      <c r="E104" s="151">
        <v>2</v>
      </c>
      <c r="F104" s="186"/>
      <c r="G104" s="180"/>
      <c r="H104" s="187"/>
      <c r="I104" s="151" t="s">
        <v>161</v>
      </c>
      <c r="J104" s="151" t="s">
        <v>163</v>
      </c>
      <c r="K104" s="188" t="s">
        <v>178</v>
      </c>
      <c r="L104" s="188" t="s">
        <v>179</v>
      </c>
      <c r="M104" s="189">
        <v>400</v>
      </c>
    </row>
    <row r="105" spans="1:13" s="138" customFormat="1" ht="24.75" customHeight="1">
      <c r="A105" s="178">
        <v>304</v>
      </c>
      <c r="B105" s="212" t="s">
        <v>165</v>
      </c>
      <c r="C105" s="179"/>
      <c r="D105" s="154" t="s">
        <v>158</v>
      </c>
      <c r="E105" s="151">
        <v>3</v>
      </c>
      <c r="F105" s="186"/>
      <c r="G105" s="180"/>
      <c r="H105" s="187"/>
      <c r="I105" s="151" t="s">
        <v>161</v>
      </c>
      <c r="J105" s="151" t="s">
        <v>163</v>
      </c>
      <c r="K105" s="188" t="s">
        <v>166</v>
      </c>
      <c r="L105" s="188" t="s">
        <v>166</v>
      </c>
      <c r="M105" s="189">
        <v>400</v>
      </c>
    </row>
    <row r="106" spans="1:13" s="138" customFormat="1" ht="24.75" customHeight="1">
      <c r="A106" s="193">
        <v>345</v>
      </c>
      <c r="B106" s="211" t="s">
        <v>167</v>
      </c>
      <c r="C106" s="211"/>
      <c r="D106" s="213">
        <v>1999</v>
      </c>
      <c r="E106" s="211">
        <v>1</v>
      </c>
      <c r="F106" s="211"/>
      <c r="G106" s="211"/>
      <c r="H106" s="211"/>
      <c r="I106" s="211" t="s">
        <v>168</v>
      </c>
      <c r="J106" s="211" t="s">
        <v>169</v>
      </c>
      <c r="K106" s="176" t="s">
        <v>172</v>
      </c>
      <c r="L106" s="176" t="s">
        <v>164</v>
      </c>
      <c r="M106" s="177">
        <v>60</v>
      </c>
    </row>
    <row r="107" spans="1:13" s="138" customFormat="1" ht="24.75" customHeight="1">
      <c r="A107" s="193">
        <v>345</v>
      </c>
      <c r="B107" s="211" t="s">
        <v>167</v>
      </c>
      <c r="C107" s="211"/>
      <c r="D107" s="213">
        <v>1999</v>
      </c>
      <c r="E107" s="211">
        <v>3</v>
      </c>
      <c r="F107" s="211"/>
      <c r="G107" s="211"/>
      <c r="H107" s="211"/>
      <c r="I107" s="211" t="s">
        <v>168</v>
      </c>
      <c r="J107" s="211" t="s">
        <v>169</v>
      </c>
      <c r="K107" s="190" t="s">
        <v>170</v>
      </c>
      <c r="L107" s="190" t="s">
        <v>171</v>
      </c>
      <c r="M107" s="191" t="s">
        <v>25</v>
      </c>
    </row>
    <row r="108" spans="1:13" s="138" customFormat="1" ht="24.75" customHeight="1">
      <c r="A108" s="203"/>
      <c r="B108" s="203"/>
      <c r="C108" s="203"/>
      <c r="D108" s="203"/>
      <c r="E108" s="203"/>
      <c r="F108" s="177"/>
      <c r="G108" s="177"/>
      <c r="H108" s="177"/>
      <c r="I108" s="203"/>
      <c r="J108" s="203"/>
      <c r="K108" s="203"/>
      <c r="L108" s="203"/>
      <c r="M108" s="203"/>
    </row>
    <row r="109" spans="1:13" s="138" customFormat="1" ht="24.75" customHeight="1">
      <c r="A109" s="203"/>
      <c r="B109" s="203"/>
      <c r="C109" s="203"/>
      <c r="D109" s="203"/>
      <c r="E109" s="203"/>
      <c r="F109" s="177"/>
      <c r="G109" s="177"/>
      <c r="H109" s="177"/>
      <c r="I109" s="203"/>
      <c r="J109" s="203"/>
      <c r="K109" s="203"/>
      <c r="L109" s="203"/>
      <c r="M109" s="203"/>
    </row>
    <row r="110" spans="1:13" s="138" customFormat="1" ht="24.75" customHeight="1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</row>
    <row r="111" spans="1:13" s="138" customFormat="1" ht="24.75" customHeight="1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</row>
    <row r="112" spans="1:13" s="138" customFormat="1" ht="24.75" customHeight="1">
      <c r="A112" s="204"/>
      <c r="B112" s="205"/>
      <c r="C112" s="206"/>
      <c r="D112" s="207"/>
      <c r="E112" s="205"/>
      <c r="F112" s="208"/>
      <c r="G112" s="183"/>
      <c r="H112" s="192"/>
      <c r="I112" s="194"/>
      <c r="J112" s="194"/>
      <c r="K112" s="209"/>
      <c r="L112" s="209"/>
      <c r="M112" s="210"/>
    </row>
    <row r="113" spans="1:13" s="138" customFormat="1" ht="24.75" customHeight="1">
      <c r="A113" s="178"/>
      <c r="B113" s="200"/>
      <c r="C113" s="201"/>
      <c r="D113" s="202"/>
      <c r="E113" s="200"/>
      <c r="F113" s="186"/>
      <c r="G113" s="180"/>
      <c r="H113" s="187"/>
      <c r="I113" s="151"/>
      <c r="J113" s="151"/>
      <c r="K113" s="188"/>
      <c r="L113" s="188"/>
      <c r="M113" s="189"/>
    </row>
    <row r="114" spans="1:13" s="138" customFormat="1" ht="24.75" customHeight="1">
      <c r="A114" s="178"/>
      <c r="B114" s="151"/>
      <c r="C114" s="179"/>
      <c r="D114" s="154"/>
      <c r="E114" s="151"/>
      <c r="F114" s="186"/>
      <c r="G114" s="180"/>
      <c r="H114" s="187"/>
      <c r="I114" s="151"/>
      <c r="J114" s="151"/>
      <c r="K114" s="188"/>
      <c r="L114" s="188"/>
      <c r="M114" s="189"/>
    </row>
    <row r="115" spans="1:14" s="138" customFormat="1" ht="24.75" customHeight="1">
      <c r="A115" s="199"/>
      <c r="B115" s="151"/>
      <c r="C115" s="179"/>
      <c r="D115" s="154"/>
      <c r="E115" s="195"/>
      <c r="F115" s="196"/>
      <c r="G115" s="197"/>
      <c r="H115" s="198"/>
      <c r="I115" s="151"/>
      <c r="J115" s="151"/>
      <c r="K115" s="188"/>
      <c r="L115" s="188"/>
      <c r="M115" s="189"/>
      <c r="N115" s="162"/>
    </row>
    <row r="116" spans="1:14" s="138" customFormat="1" ht="24.75" customHeight="1">
      <c r="A116" s="184"/>
      <c r="B116" s="155"/>
      <c r="C116" s="156"/>
      <c r="D116" s="157"/>
      <c r="E116" s="158"/>
      <c r="F116" s="185"/>
      <c r="G116" s="160"/>
      <c r="H116" s="161"/>
      <c r="I116" s="194"/>
      <c r="J116" s="194"/>
      <c r="K116" s="181"/>
      <c r="L116" s="181"/>
      <c r="M116" s="182"/>
      <c r="N116" s="162"/>
    </row>
    <row r="117" spans="1:14" s="138" customFormat="1" ht="24.75" customHeight="1">
      <c r="A117" s="137"/>
      <c r="F117" s="159"/>
      <c r="G117" s="168"/>
      <c r="H117" s="169"/>
      <c r="I117" s="151"/>
      <c r="J117" s="151"/>
      <c r="N117" s="162"/>
    </row>
    <row r="118" spans="1:14" s="138" customFormat="1" ht="24.75" customHeight="1">
      <c r="A118" s="137"/>
      <c r="F118" s="159"/>
      <c r="G118" s="168"/>
      <c r="H118" s="169"/>
      <c r="I118" s="151"/>
      <c r="J118" s="151"/>
      <c r="N118" s="162"/>
    </row>
    <row r="119" spans="1:14" s="20" customFormat="1" ht="24.75" customHeight="1">
      <c r="A119" s="41"/>
      <c r="B119" s="163"/>
      <c r="C119" s="164"/>
      <c r="D119" s="165"/>
      <c r="E119" s="166"/>
      <c r="F119" s="159"/>
      <c r="G119" s="168"/>
      <c r="H119" s="169"/>
      <c r="I119" s="151"/>
      <c r="J119" s="151"/>
      <c r="K119" s="152"/>
      <c r="L119" s="152"/>
      <c r="M119" s="153"/>
      <c r="N119" s="172"/>
    </row>
    <row r="120" spans="1:14" s="138" customFormat="1" ht="24.75" customHeight="1">
      <c r="A120" s="137"/>
      <c r="B120" s="163"/>
      <c r="C120" s="164"/>
      <c r="D120" s="165"/>
      <c r="E120" s="166"/>
      <c r="F120" s="159"/>
      <c r="G120" s="168"/>
      <c r="H120" s="169"/>
      <c r="I120" s="151"/>
      <c r="J120" s="151"/>
      <c r="K120" s="152"/>
      <c r="L120" s="152"/>
      <c r="M120" s="153"/>
      <c r="N120" s="162"/>
    </row>
    <row r="121" spans="1:14" s="138" customFormat="1" ht="24.75" customHeight="1">
      <c r="A121" s="137"/>
      <c r="B121" s="163"/>
      <c r="C121" s="164"/>
      <c r="D121" s="165"/>
      <c r="E121" s="166"/>
      <c r="F121" s="159"/>
      <c r="G121" s="168"/>
      <c r="H121" s="169"/>
      <c r="I121" s="151"/>
      <c r="J121" s="151"/>
      <c r="K121" s="152"/>
      <c r="L121" s="152"/>
      <c r="M121" s="153"/>
      <c r="N121" s="162"/>
    </row>
    <row r="122" spans="1:14" s="20" customFormat="1" ht="24.75" customHeight="1">
      <c r="A122" s="41"/>
      <c r="B122" s="163"/>
      <c r="C122" s="174"/>
      <c r="D122" s="165"/>
      <c r="E122" s="166"/>
      <c r="F122" s="159"/>
      <c r="G122" s="168"/>
      <c r="H122" s="169"/>
      <c r="I122" s="151"/>
      <c r="J122" s="151"/>
      <c r="K122" s="152"/>
      <c r="L122" s="152"/>
      <c r="M122" s="153"/>
      <c r="N122" s="172"/>
    </row>
    <row r="123" spans="1:14" s="20" customFormat="1" ht="24.75" customHeight="1">
      <c r="A123" s="41"/>
      <c r="B123" s="173"/>
      <c r="C123" s="174"/>
      <c r="D123" s="164"/>
      <c r="E123" s="170"/>
      <c r="F123" s="167"/>
      <c r="G123" s="168"/>
      <c r="H123" s="169"/>
      <c r="I123" s="167"/>
      <c r="J123" s="175"/>
      <c r="K123" s="170"/>
      <c r="L123" s="170"/>
      <c r="M123" s="171"/>
      <c r="N123" s="172"/>
    </row>
    <row r="124" spans="1:14" s="20" customFormat="1" ht="24.75" customHeight="1">
      <c r="A124" s="41"/>
      <c r="B124" s="173"/>
      <c r="C124" s="174"/>
      <c r="D124" s="164"/>
      <c r="E124" s="170"/>
      <c r="F124" s="167"/>
      <c r="G124" s="168"/>
      <c r="H124" s="169"/>
      <c r="I124" s="167"/>
      <c r="J124" s="175"/>
      <c r="K124" s="170"/>
      <c r="L124" s="170"/>
      <c r="M124" s="171"/>
      <c r="N124" s="172"/>
    </row>
    <row r="125" spans="1:14" s="20" customFormat="1" ht="24.75" customHeight="1">
      <c r="A125" s="41"/>
      <c r="B125" s="173"/>
      <c r="C125" s="174"/>
      <c r="D125" s="164"/>
      <c r="E125" s="170"/>
      <c r="F125" s="167"/>
      <c r="G125" s="168"/>
      <c r="H125" s="169"/>
      <c r="I125" s="167"/>
      <c r="J125" s="175"/>
      <c r="K125" s="170"/>
      <c r="L125" s="170"/>
      <c r="M125" s="171"/>
      <c r="N125" s="172"/>
    </row>
    <row r="126" spans="1:14" s="20" customFormat="1" ht="24.75" customHeight="1">
      <c r="A126" s="41"/>
      <c r="B126" s="173"/>
      <c r="C126" s="174"/>
      <c r="D126" s="164"/>
      <c r="E126" s="170"/>
      <c r="F126" s="167"/>
      <c r="G126" s="168"/>
      <c r="H126" s="169"/>
      <c r="I126" s="167"/>
      <c r="J126" s="175"/>
      <c r="K126" s="170"/>
      <c r="L126" s="170"/>
      <c r="M126" s="171"/>
      <c r="N126" s="172"/>
    </row>
    <row r="127" spans="1:13" s="20" customFormat="1" ht="24.75" customHeight="1">
      <c r="A127" s="41"/>
      <c r="B127" s="17"/>
      <c r="C127" s="51"/>
      <c r="D127" s="139"/>
      <c r="E127" s="18"/>
      <c r="F127" s="28"/>
      <c r="G127" s="118"/>
      <c r="H127" s="35"/>
      <c r="I127" s="127"/>
      <c r="J127" s="122"/>
      <c r="K127" s="19"/>
      <c r="L127" s="19"/>
      <c r="M127" s="16"/>
    </row>
    <row r="128" spans="1:13" s="20" customFormat="1" ht="24.75" customHeight="1">
      <c r="A128" s="41"/>
      <c r="B128" s="17"/>
      <c r="C128" s="51"/>
      <c r="D128" s="139"/>
      <c r="E128" s="18"/>
      <c r="F128" s="28"/>
      <c r="G128" s="118"/>
      <c r="H128" s="35"/>
      <c r="I128" s="127"/>
      <c r="J128" s="122"/>
      <c r="K128" s="19"/>
      <c r="L128" s="19"/>
      <c r="M128" s="16"/>
    </row>
    <row r="129" spans="1:13" s="20" customFormat="1" ht="24.75" customHeight="1">
      <c r="A129" s="41"/>
      <c r="B129" s="17"/>
      <c r="C129" s="51"/>
      <c r="D129" s="139"/>
      <c r="E129" s="18"/>
      <c r="F129" s="28"/>
      <c r="G129" s="118"/>
      <c r="H129" s="35"/>
      <c r="I129" s="127"/>
      <c r="J129" s="122"/>
      <c r="K129" s="19"/>
      <c r="L129" s="19"/>
      <c r="M129" s="16"/>
    </row>
    <row r="130" spans="1:13" s="20" customFormat="1" ht="24.75" customHeight="1">
      <c r="A130" s="41"/>
      <c r="B130" s="17"/>
      <c r="C130" s="51"/>
      <c r="D130" s="139"/>
      <c r="E130" s="18"/>
      <c r="F130" s="28"/>
      <c r="G130" s="118"/>
      <c r="H130" s="35"/>
      <c r="I130" s="127"/>
      <c r="J130" s="122"/>
      <c r="K130" s="19"/>
      <c r="L130" s="19"/>
      <c r="M130" s="16"/>
    </row>
    <row r="131" spans="1:13" s="20" customFormat="1" ht="24.75" customHeight="1">
      <c r="A131" s="41"/>
      <c r="B131" s="17"/>
      <c r="C131" s="51"/>
      <c r="D131" s="139"/>
      <c r="E131" s="18"/>
      <c r="F131" s="28"/>
      <c r="G131" s="118"/>
      <c r="H131" s="35"/>
      <c r="I131" s="127"/>
      <c r="J131" s="122"/>
      <c r="K131" s="19"/>
      <c r="L131" s="19"/>
      <c r="M131" s="16"/>
    </row>
    <row r="132" spans="1:13" s="20" customFormat="1" ht="24.75" customHeight="1">
      <c r="A132" s="41"/>
      <c r="B132" s="17"/>
      <c r="C132" s="51"/>
      <c r="D132" s="139"/>
      <c r="E132" s="18"/>
      <c r="F132" s="28"/>
      <c r="G132" s="118"/>
      <c r="H132" s="35"/>
      <c r="I132" s="127"/>
      <c r="J132" s="122"/>
      <c r="K132" s="19"/>
      <c r="L132" s="19"/>
      <c r="M132" s="16"/>
    </row>
    <row r="133" spans="1:13" s="20" customFormat="1" ht="24.75" customHeight="1">
      <c r="A133" s="41"/>
      <c r="B133" s="17"/>
      <c r="C133" s="51"/>
      <c r="D133" s="139"/>
      <c r="E133" s="18"/>
      <c r="F133" s="28"/>
      <c r="G133" s="118"/>
      <c r="H133" s="35"/>
      <c r="I133" s="127"/>
      <c r="J133" s="122"/>
      <c r="K133" s="19"/>
      <c r="L133" s="19"/>
      <c r="M133" s="16"/>
    </row>
    <row r="134" spans="1:13" s="20" customFormat="1" ht="24.75" customHeight="1">
      <c r="A134" s="41"/>
      <c r="B134" s="17"/>
      <c r="C134" s="51"/>
      <c r="D134" s="139"/>
      <c r="E134" s="18"/>
      <c r="F134" s="28"/>
      <c r="G134" s="118"/>
      <c r="H134" s="35"/>
      <c r="I134" s="127"/>
      <c r="J134" s="122"/>
      <c r="K134" s="19"/>
      <c r="L134" s="19"/>
      <c r="M134" s="16"/>
    </row>
    <row r="135" spans="1:13" s="20" customFormat="1" ht="24.75" customHeight="1">
      <c r="A135" s="41"/>
      <c r="B135" s="17"/>
      <c r="C135" s="51"/>
      <c r="D135" s="139"/>
      <c r="E135" s="18"/>
      <c r="F135" s="28"/>
      <c r="G135" s="118"/>
      <c r="H135" s="35"/>
      <c r="I135" s="127"/>
      <c r="J135" s="122"/>
      <c r="K135" s="19"/>
      <c r="L135" s="19"/>
      <c r="M135" s="16"/>
    </row>
    <row r="136" spans="1:13" s="20" customFormat="1" ht="24.75" customHeight="1">
      <c r="A136" s="41"/>
      <c r="B136" s="17"/>
      <c r="C136" s="51"/>
      <c r="D136" s="139"/>
      <c r="E136" s="18"/>
      <c r="F136" s="28"/>
      <c r="G136" s="118"/>
      <c r="H136" s="35"/>
      <c r="I136" s="127"/>
      <c r="J136" s="122"/>
      <c r="K136" s="19"/>
      <c r="L136" s="19"/>
      <c r="M136" s="16"/>
    </row>
    <row r="137" spans="1:13" s="20" customFormat="1" ht="24.75" customHeight="1">
      <c r="A137" s="41"/>
      <c r="B137" s="17"/>
      <c r="C137" s="51"/>
      <c r="D137" s="139"/>
      <c r="E137" s="18"/>
      <c r="F137" s="28"/>
      <c r="G137" s="118"/>
      <c r="H137" s="35"/>
      <c r="I137" s="127"/>
      <c r="J137" s="122"/>
      <c r="K137" s="19"/>
      <c r="L137" s="19"/>
      <c r="M137" s="16"/>
    </row>
    <row r="138" spans="1:13" s="20" customFormat="1" ht="24.75" customHeight="1">
      <c r="A138" s="41"/>
      <c r="B138" s="17"/>
      <c r="C138" s="51"/>
      <c r="D138" s="139"/>
      <c r="E138" s="18"/>
      <c r="F138" s="28"/>
      <c r="G138" s="118"/>
      <c r="H138" s="35"/>
      <c r="I138" s="127"/>
      <c r="J138" s="122"/>
      <c r="K138" s="19"/>
      <c r="L138" s="19"/>
      <c r="M138" s="16"/>
    </row>
    <row r="139" spans="1:13" s="20" customFormat="1" ht="24.75" customHeight="1">
      <c r="A139" s="41"/>
      <c r="B139" s="17"/>
      <c r="C139" s="51"/>
      <c r="D139" s="139"/>
      <c r="E139" s="18"/>
      <c r="F139" s="28"/>
      <c r="G139" s="118"/>
      <c r="H139" s="35"/>
      <c r="I139" s="127"/>
      <c r="J139" s="122"/>
      <c r="K139" s="19"/>
      <c r="L139" s="19"/>
      <c r="M139" s="16"/>
    </row>
    <row r="140" spans="1:13" s="20" customFormat="1" ht="24.75" customHeight="1">
      <c r="A140" s="41"/>
      <c r="B140" s="17"/>
      <c r="C140" s="51"/>
      <c r="D140" s="139"/>
      <c r="E140" s="18"/>
      <c r="F140" s="28"/>
      <c r="G140" s="118"/>
      <c r="H140" s="35"/>
      <c r="I140" s="127"/>
      <c r="J140" s="122"/>
      <c r="K140" s="19"/>
      <c r="L140" s="19"/>
      <c r="M140" s="16"/>
    </row>
    <row r="141" spans="1:13" s="20" customFormat="1" ht="24.75" customHeight="1">
      <c r="A141" s="41"/>
      <c r="B141" s="17"/>
      <c r="C141" s="51"/>
      <c r="D141" s="139"/>
      <c r="E141" s="18"/>
      <c r="F141" s="28"/>
      <c r="G141" s="118"/>
      <c r="H141" s="35"/>
      <c r="I141" s="127"/>
      <c r="J141" s="122"/>
      <c r="K141" s="19"/>
      <c r="L141" s="19"/>
      <c r="M141" s="16"/>
    </row>
    <row r="142" spans="1:13" s="20" customFormat="1" ht="24.75" customHeight="1">
      <c r="A142" s="41"/>
      <c r="B142" s="17"/>
      <c r="C142" s="51"/>
      <c r="D142" s="139"/>
      <c r="E142" s="18"/>
      <c r="F142" s="28"/>
      <c r="G142" s="118"/>
      <c r="H142" s="35"/>
      <c r="I142" s="127"/>
      <c r="J142" s="122"/>
      <c r="K142" s="19"/>
      <c r="L142" s="19"/>
      <c r="M142" s="16"/>
    </row>
    <row r="143" spans="1:13" s="20" customFormat="1" ht="24.75" customHeight="1">
      <c r="A143" s="41"/>
      <c r="B143" s="17"/>
      <c r="C143" s="51"/>
      <c r="D143" s="139"/>
      <c r="E143" s="18"/>
      <c r="F143" s="28"/>
      <c r="G143" s="118"/>
      <c r="H143" s="35"/>
      <c r="I143" s="127"/>
      <c r="J143" s="122"/>
      <c r="K143" s="19"/>
      <c r="L143" s="19"/>
      <c r="M143" s="16"/>
    </row>
    <row r="144" spans="1:13" s="20" customFormat="1" ht="24.75" customHeight="1">
      <c r="A144" s="41"/>
      <c r="B144" s="17"/>
      <c r="C144" s="51"/>
      <c r="D144" s="139"/>
      <c r="E144" s="18"/>
      <c r="F144" s="28"/>
      <c r="G144" s="118"/>
      <c r="H144" s="35"/>
      <c r="I144" s="127"/>
      <c r="J144" s="122"/>
      <c r="K144" s="19"/>
      <c r="L144" s="19"/>
      <c r="M144" s="16"/>
    </row>
    <row r="145" spans="1:13" s="20" customFormat="1" ht="24.75" customHeight="1">
      <c r="A145" s="41"/>
      <c r="B145" s="17"/>
      <c r="C145" s="51"/>
      <c r="D145" s="139"/>
      <c r="E145" s="18"/>
      <c r="F145" s="28"/>
      <c r="G145" s="118"/>
      <c r="H145" s="35"/>
      <c r="I145" s="127"/>
      <c r="J145" s="122"/>
      <c r="K145" s="19"/>
      <c r="L145" s="19"/>
      <c r="M145" s="16"/>
    </row>
    <row r="146" spans="1:13" s="20" customFormat="1" ht="24.75" customHeight="1">
      <c r="A146" s="41"/>
      <c r="B146" s="17"/>
      <c r="C146" s="51"/>
      <c r="D146" s="139"/>
      <c r="E146" s="18"/>
      <c r="F146" s="28"/>
      <c r="G146" s="118"/>
      <c r="H146" s="35"/>
      <c r="I146" s="127"/>
      <c r="J146" s="122"/>
      <c r="K146" s="19"/>
      <c r="L146" s="19"/>
      <c r="M146" s="16"/>
    </row>
    <row r="147" spans="1:13" s="20" customFormat="1" ht="24.75" customHeight="1">
      <c r="A147" s="41"/>
      <c r="B147" s="17"/>
      <c r="C147" s="51"/>
      <c r="D147" s="139"/>
      <c r="E147" s="18"/>
      <c r="F147" s="28"/>
      <c r="G147" s="118"/>
      <c r="H147" s="35"/>
      <c r="I147" s="127"/>
      <c r="J147" s="122"/>
      <c r="K147" s="19"/>
      <c r="L147" s="19"/>
      <c r="M147" s="16"/>
    </row>
    <row r="148" spans="1:13" s="20" customFormat="1" ht="24.75" customHeight="1">
      <c r="A148" s="41"/>
      <c r="B148" s="17"/>
      <c r="C148" s="51"/>
      <c r="D148" s="139"/>
      <c r="E148" s="18"/>
      <c r="F148" s="28"/>
      <c r="G148" s="118"/>
      <c r="H148" s="35"/>
      <c r="I148" s="127"/>
      <c r="J148" s="122"/>
      <c r="K148" s="19"/>
      <c r="L148" s="19"/>
      <c r="M148" s="16"/>
    </row>
    <row r="149" spans="1:13" s="20" customFormat="1" ht="24.75" customHeight="1">
      <c r="A149" s="41"/>
      <c r="B149" s="17"/>
      <c r="C149" s="51"/>
      <c r="D149" s="139"/>
      <c r="E149" s="18"/>
      <c r="F149" s="28"/>
      <c r="G149" s="118"/>
      <c r="H149" s="35"/>
      <c r="I149" s="127"/>
      <c r="J149" s="122"/>
      <c r="K149" s="19"/>
      <c r="L149" s="19"/>
      <c r="M149" s="16"/>
    </row>
    <row r="150" spans="1:13" s="20" customFormat="1" ht="24.75" customHeight="1">
      <c r="A150" s="41"/>
      <c r="B150" s="17"/>
      <c r="C150" s="51"/>
      <c r="D150" s="139"/>
      <c r="E150" s="18"/>
      <c r="F150" s="28"/>
      <c r="G150" s="118"/>
      <c r="H150" s="35"/>
      <c r="I150" s="127"/>
      <c r="J150" s="122"/>
      <c r="K150" s="19"/>
      <c r="L150" s="19"/>
      <c r="M150" s="16"/>
    </row>
    <row r="151" spans="1:13" s="20" customFormat="1" ht="24.75" customHeight="1">
      <c r="A151" s="41"/>
      <c r="B151" s="17"/>
      <c r="C151" s="51"/>
      <c r="D151" s="139"/>
      <c r="E151" s="18"/>
      <c r="F151" s="28"/>
      <c r="G151" s="118"/>
      <c r="H151" s="35"/>
      <c r="I151" s="127"/>
      <c r="J151" s="122"/>
      <c r="K151" s="19"/>
      <c r="L151" s="19"/>
      <c r="M151" s="16"/>
    </row>
    <row r="152" spans="1:13" s="20" customFormat="1" ht="24.75" customHeight="1">
      <c r="A152" s="41"/>
      <c r="B152" s="17"/>
      <c r="C152" s="51"/>
      <c r="D152" s="139"/>
      <c r="E152" s="18"/>
      <c r="F152" s="28"/>
      <c r="G152" s="118"/>
      <c r="H152" s="35"/>
      <c r="I152" s="127"/>
      <c r="J152" s="122"/>
      <c r="K152" s="19"/>
      <c r="L152" s="19"/>
      <c r="M152" s="16"/>
    </row>
    <row r="153" spans="1:13" s="20" customFormat="1" ht="24.75" customHeight="1">
      <c r="A153" s="41"/>
      <c r="B153" s="17"/>
      <c r="C153" s="51"/>
      <c r="D153" s="139"/>
      <c r="E153" s="18"/>
      <c r="F153" s="28"/>
      <c r="G153" s="118"/>
      <c r="H153" s="35"/>
      <c r="I153" s="127"/>
      <c r="J153" s="122"/>
      <c r="K153" s="19"/>
      <c r="L153" s="19"/>
      <c r="M153" s="16"/>
    </row>
    <row r="154" spans="1:13" s="20" customFormat="1" ht="24.75" customHeight="1">
      <c r="A154" s="41"/>
      <c r="B154" s="17"/>
      <c r="C154" s="51"/>
      <c r="D154" s="139"/>
      <c r="E154" s="18"/>
      <c r="F154" s="28"/>
      <c r="G154" s="118"/>
      <c r="H154" s="35"/>
      <c r="I154" s="127"/>
      <c r="J154" s="122"/>
      <c r="K154" s="19"/>
      <c r="L154" s="19"/>
      <c r="M154" s="16"/>
    </row>
    <row r="155" spans="1:13" s="20" customFormat="1" ht="24.75" customHeight="1">
      <c r="A155" s="41"/>
      <c r="B155" s="17"/>
      <c r="C155" s="51"/>
      <c r="D155" s="139"/>
      <c r="E155" s="18"/>
      <c r="F155" s="28"/>
      <c r="G155" s="118"/>
      <c r="H155" s="35"/>
      <c r="I155" s="127"/>
      <c r="J155" s="122"/>
      <c r="K155" s="19"/>
      <c r="L155" s="19"/>
      <c r="M155" s="16"/>
    </row>
    <row r="156" spans="1:13" s="20" customFormat="1" ht="24.75" customHeight="1">
      <c r="A156" s="41"/>
      <c r="B156" s="17"/>
      <c r="C156" s="51"/>
      <c r="D156" s="139"/>
      <c r="E156" s="18"/>
      <c r="F156" s="28"/>
      <c r="G156" s="118"/>
      <c r="H156" s="35"/>
      <c r="I156" s="127"/>
      <c r="J156" s="122"/>
      <c r="K156" s="19"/>
      <c r="L156" s="19"/>
      <c r="M156" s="16"/>
    </row>
    <row r="157" spans="1:13" s="20" customFormat="1" ht="24.75" customHeight="1">
      <c r="A157" s="41"/>
      <c r="B157" s="17"/>
      <c r="C157" s="51"/>
      <c r="D157" s="139"/>
      <c r="E157" s="18"/>
      <c r="F157" s="28"/>
      <c r="G157" s="118"/>
      <c r="H157" s="35"/>
      <c r="I157" s="127"/>
      <c r="J157" s="122"/>
      <c r="K157" s="19"/>
      <c r="L157" s="19"/>
      <c r="M157" s="16"/>
    </row>
    <row r="158" spans="1:13" s="20" customFormat="1" ht="24.75" customHeight="1">
      <c r="A158" s="41"/>
      <c r="B158" s="17"/>
      <c r="C158" s="51"/>
      <c r="D158" s="139"/>
      <c r="E158" s="18"/>
      <c r="F158" s="28"/>
      <c r="G158" s="118"/>
      <c r="H158" s="35"/>
      <c r="I158" s="127"/>
      <c r="J158" s="122"/>
      <c r="K158" s="19"/>
      <c r="L158" s="19"/>
      <c r="M158" s="16"/>
    </row>
    <row r="159" spans="1:13" s="20" customFormat="1" ht="24.75" customHeight="1">
      <c r="A159" s="41"/>
      <c r="B159" s="17"/>
      <c r="C159" s="51"/>
      <c r="D159" s="139"/>
      <c r="E159" s="18"/>
      <c r="F159" s="28"/>
      <c r="G159" s="118"/>
      <c r="H159" s="35"/>
      <c r="I159" s="127"/>
      <c r="J159" s="122"/>
      <c r="K159" s="19"/>
      <c r="L159" s="19"/>
      <c r="M159" s="16"/>
    </row>
    <row r="160" spans="1:13" s="20" customFormat="1" ht="24.75" customHeight="1">
      <c r="A160" s="41"/>
      <c r="B160" s="17"/>
      <c r="C160" s="51"/>
      <c r="D160" s="139"/>
      <c r="E160" s="18"/>
      <c r="F160" s="28"/>
      <c r="G160" s="118"/>
      <c r="H160" s="35"/>
      <c r="I160" s="127"/>
      <c r="J160" s="122"/>
      <c r="K160" s="19"/>
      <c r="L160" s="19"/>
      <c r="M160" s="16"/>
    </row>
    <row r="161" spans="1:13" s="20" customFormat="1" ht="24.75" customHeight="1">
      <c r="A161" s="41"/>
      <c r="B161" s="17"/>
      <c r="C161" s="51"/>
      <c r="D161" s="139"/>
      <c r="E161" s="18"/>
      <c r="F161" s="28"/>
      <c r="G161" s="118"/>
      <c r="H161" s="35"/>
      <c r="I161" s="127"/>
      <c r="J161" s="122"/>
      <c r="K161" s="19"/>
      <c r="L161" s="19"/>
      <c r="M161" s="16"/>
    </row>
    <row r="162" spans="1:13" s="20" customFormat="1" ht="24.75" customHeight="1">
      <c r="A162" s="41"/>
      <c r="B162" s="17"/>
      <c r="C162" s="51"/>
      <c r="D162" s="139"/>
      <c r="E162" s="18"/>
      <c r="F162" s="28"/>
      <c r="G162" s="118"/>
      <c r="H162" s="35"/>
      <c r="I162" s="127"/>
      <c r="J162" s="122"/>
      <c r="K162" s="19"/>
      <c r="L162" s="19"/>
      <c r="M162" s="16"/>
    </row>
    <row r="163" spans="1:13" s="20" customFormat="1" ht="24.75" customHeight="1">
      <c r="A163" s="41"/>
      <c r="B163" s="17"/>
      <c r="C163" s="51"/>
      <c r="D163" s="139"/>
      <c r="E163" s="18"/>
      <c r="F163" s="28"/>
      <c r="G163" s="118"/>
      <c r="H163" s="35"/>
      <c r="I163" s="127"/>
      <c r="J163" s="122"/>
      <c r="K163" s="19"/>
      <c r="L163" s="19"/>
      <c r="M163" s="16"/>
    </row>
    <row r="164" spans="1:13" s="20" customFormat="1" ht="24.75" customHeight="1">
      <c r="A164" s="41"/>
      <c r="B164" s="17"/>
      <c r="C164" s="51"/>
      <c r="D164" s="139"/>
      <c r="E164" s="18"/>
      <c r="F164" s="28"/>
      <c r="G164" s="118"/>
      <c r="H164" s="35"/>
      <c r="I164" s="127"/>
      <c r="J164" s="122"/>
      <c r="K164" s="19"/>
      <c r="L164" s="19"/>
      <c r="M164" s="16"/>
    </row>
    <row r="165" spans="1:13" s="20" customFormat="1" ht="24.75" customHeight="1">
      <c r="A165" s="41"/>
      <c r="B165" s="17"/>
      <c r="C165" s="51"/>
      <c r="D165" s="139"/>
      <c r="E165" s="18"/>
      <c r="F165" s="28"/>
      <c r="G165" s="118"/>
      <c r="H165" s="35"/>
      <c r="I165" s="127"/>
      <c r="J165" s="122"/>
      <c r="K165" s="19"/>
      <c r="L165" s="19"/>
      <c r="M165" s="16"/>
    </row>
    <row r="166" spans="1:13" s="20" customFormat="1" ht="24.75" customHeight="1">
      <c r="A166" s="41"/>
      <c r="B166" s="17"/>
      <c r="C166" s="51"/>
      <c r="D166" s="139"/>
      <c r="E166" s="18"/>
      <c r="F166" s="28"/>
      <c r="G166" s="118"/>
      <c r="H166" s="35"/>
      <c r="I166" s="127"/>
      <c r="J166" s="122"/>
      <c r="K166" s="19"/>
      <c r="L166" s="19"/>
      <c r="M166" s="16"/>
    </row>
    <row r="167" spans="1:13" s="20" customFormat="1" ht="24.75" customHeight="1">
      <c r="A167" s="41"/>
      <c r="B167" s="17"/>
      <c r="C167" s="51"/>
      <c r="D167" s="139"/>
      <c r="E167" s="18"/>
      <c r="F167" s="28"/>
      <c r="G167" s="118"/>
      <c r="H167" s="35"/>
      <c r="I167" s="127"/>
      <c r="J167" s="122"/>
      <c r="K167" s="19"/>
      <c r="L167" s="19"/>
      <c r="M167" s="16"/>
    </row>
    <row r="168" spans="1:13" s="20" customFormat="1" ht="24.75" customHeight="1">
      <c r="A168" s="41"/>
      <c r="B168" s="17"/>
      <c r="C168" s="51"/>
      <c r="D168" s="139"/>
      <c r="E168" s="18"/>
      <c r="F168" s="28"/>
      <c r="G168" s="118"/>
      <c r="H168" s="35"/>
      <c r="I168" s="127"/>
      <c r="J168" s="122"/>
      <c r="K168" s="19"/>
      <c r="L168" s="19"/>
      <c r="M168" s="16"/>
    </row>
    <row r="169" spans="1:13" s="20" customFormat="1" ht="24.75" customHeight="1">
      <c r="A169" s="41"/>
      <c r="B169" s="17"/>
      <c r="C169" s="51"/>
      <c r="D169" s="139"/>
      <c r="E169" s="18"/>
      <c r="F169" s="28"/>
      <c r="G169" s="118"/>
      <c r="H169" s="35"/>
      <c r="I169" s="127"/>
      <c r="J169" s="122"/>
      <c r="K169" s="19"/>
      <c r="L169" s="19"/>
      <c r="M169" s="16"/>
    </row>
    <row r="170" spans="1:13" s="20" customFormat="1" ht="24.75" customHeight="1">
      <c r="A170" s="41"/>
      <c r="B170" s="17"/>
      <c r="C170" s="51"/>
      <c r="D170" s="139"/>
      <c r="E170" s="18"/>
      <c r="F170" s="28"/>
      <c r="G170" s="118"/>
      <c r="H170" s="35"/>
      <c r="I170" s="127"/>
      <c r="J170" s="122"/>
      <c r="K170" s="19"/>
      <c r="L170" s="19"/>
      <c r="M170" s="16"/>
    </row>
    <row r="171" spans="1:13" s="20" customFormat="1" ht="24.75" customHeight="1">
      <c r="A171" s="41"/>
      <c r="B171" s="17"/>
      <c r="C171" s="51"/>
      <c r="D171" s="139"/>
      <c r="E171" s="18"/>
      <c r="F171" s="28"/>
      <c r="G171" s="118"/>
      <c r="H171" s="35"/>
      <c r="I171" s="127"/>
      <c r="J171" s="122"/>
      <c r="K171" s="19"/>
      <c r="L171" s="19"/>
      <c r="M171" s="16"/>
    </row>
    <row r="172" spans="1:13" s="20" customFormat="1" ht="24.75" customHeight="1">
      <c r="A172" s="41"/>
      <c r="B172" s="17"/>
      <c r="C172" s="51"/>
      <c r="D172" s="139"/>
      <c r="E172" s="18"/>
      <c r="F172" s="28"/>
      <c r="G172" s="118"/>
      <c r="H172" s="35"/>
      <c r="I172" s="127"/>
      <c r="J172" s="122"/>
      <c r="K172" s="19"/>
      <c r="L172" s="19"/>
      <c r="M172" s="16"/>
    </row>
    <row r="173" spans="1:13" s="20" customFormat="1" ht="24.75" customHeight="1">
      <c r="A173" s="41"/>
      <c r="B173" s="17"/>
      <c r="C173" s="51"/>
      <c r="D173" s="139"/>
      <c r="E173" s="18"/>
      <c r="F173" s="28"/>
      <c r="G173" s="118"/>
      <c r="H173" s="35"/>
      <c r="I173" s="127"/>
      <c r="J173" s="122"/>
      <c r="K173" s="19"/>
      <c r="L173" s="19"/>
      <c r="M173" s="16"/>
    </row>
    <row r="174" spans="1:13" s="20" customFormat="1" ht="24.75" customHeight="1">
      <c r="A174" s="41"/>
      <c r="B174" s="17"/>
      <c r="C174" s="51"/>
      <c r="D174" s="139"/>
      <c r="E174" s="18"/>
      <c r="F174" s="28"/>
      <c r="G174" s="118"/>
      <c r="H174" s="35"/>
      <c r="I174" s="127"/>
      <c r="J174" s="122"/>
      <c r="K174" s="19"/>
      <c r="L174" s="19"/>
      <c r="M174" s="16"/>
    </row>
    <row r="175" spans="1:13" s="20" customFormat="1" ht="24.75" customHeight="1">
      <c r="A175" s="41"/>
      <c r="B175" s="17"/>
      <c r="C175" s="51"/>
      <c r="D175" s="139"/>
      <c r="E175" s="18"/>
      <c r="F175" s="28"/>
      <c r="G175" s="118"/>
      <c r="H175" s="35"/>
      <c r="I175" s="127"/>
      <c r="J175" s="122"/>
      <c r="K175" s="19"/>
      <c r="L175" s="19"/>
      <c r="M175" s="16"/>
    </row>
    <row r="176" spans="1:13" s="20" customFormat="1" ht="24.75" customHeight="1">
      <c r="A176" s="41"/>
      <c r="B176" s="17"/>
      <c r="C176" s="51"/>
      <c r="D176" s="139"/>
      <c r="E176" s="18"/>
      <c r="F176" s="28"/>
      <c r="G176" s="118"/>
      <c r="H176" s="35"/>
      <c r="I176" s="127"/>
      <c r="J176" s="122"/>
      <c r="K176" s="19"/>
      <c r="L176" s="19"/>
      <c r="M176" s="16"/>
    </row>
    <row r="177" spans="1:13" s="20" customFormat="1" ht="24.75" customHeight="1">
      <c r="A177" s="41"/>
      <c r="B177" s="17"/>
      <c r="C177" s="51"/>
      <c r="D177" s="139"/>
      <c r="E177" s="18"/>
      <c r="F177" s="28"/>
      <c r="G177" s="118"/>
      <c r="H177" s="35"/>
      <c r="I177" s="127"/>
      <c r="J177" s="122"/>
      <c r="K177" s="19"/>
      <c r="L177" s="19"/>
      <c r="M177" s="16"/>
    </row>
    <row r="178" spans="1:13" s="20" customFormat="1" ht="24.75" customHeight="1">
      <c r="A178" s="41"/>
      <c r="B178" s="17"/>
      <c r="C178" s="51"/>
      <c r="D178" s="139"/>
      <c r="E178" s="18"/>
      <c r="F178" s="28"/>
      <c r="G178" s="118"/>
      <c r="H178" s="35"/>
      <c r="I178" s="127"/>
      <c r="J178" s="122"/>
      <c r="K178" s="19"/>
      <c r="L178" s="19"/>
      <c r="M178" s="16"/>
    </row>
    <row r="179" spans="1:13" s="20" customFormat="1" ht="24.75" customHeight="1">
      <c r="A179" s="41"/>
      <c r="B179" s="17"/>
      <c r="C179" s="51"/>
      <c r="D179" s="139"/>
      <c r="E179" s="18"/>
      <c r="F179" s="28"/>
      <c r="G179" s="118"/>
      <c r="H179" s="35"/>
      <c r="I179" s="127"/>
      <c r="J179" s="122"/>
      <c r="K179" s="19"/>
      <c r="L179" s="19"/>
      <c r="M179" s="16"/>
    </row>
    <row r="180" spans="1:13" s="20" customFormat="1" ht="24.75" customHeight="1">
      <c r="A180" s="41"/>
      <c r="B180" s="17"/>
      <c r="C180" s="51"/>
      <c r="D180" s="139"/>
      <c r="E180" s="18"/>
      <c r="F180" s="28"/>
      <c r="G180" s="118"/>
      <c r="H180" s="35"/>
      <c r="I180" s="127"/>
      <c r="J180" s="122"/>
      <c r="K180" s="19"/>
      <c r="L180" s="19"/>
      <c r="M180" s="16"/>
    </row>
    <row r="181" spans="1:13" s="20" customFormat="1" ht="24.75" customHeight="1">
      <c r="A181" s="41"/>
      <c r="B181" s="17"/>
      <c r="C181" s="51"/>
      <c r="D181" s="139"/>
      <c r="E181" s="18"/>
      <c r="F181" s="28"/>
      <c r="G181" s="118"/>
      <c r="H181" s="35"/>
      <c r="I181" s="127"/>
      <c r="J181" s="122"/>
      <c r="K181" s="19"/>
      <c r="L181" s="19"/>
      <c r="M181" s="16"/>
    </row>
    <row r="182" spans="1:13" s="20" customFormat="1" ht="24.75" customHeight="1">
      <c r="A182" s="41"/>
      <c r="B182" s="17"/>
      <c r="C182" s="51"/>
      <c r="D182" s="139"/>
      <c r="E182" s="18"/>
      <c r="F182" s="28"/>
      <c r="G182" s="118"/>
      <c r="H182" s="35"/>
      <c r="I182" s="127"/>
      <c r="J182" s="122"/>
      <c r="K182" s="19"/>
      <c r="L182" s="19"/>
      <c r="M182" s="16"/>
    </row>
    <row r="183" spans="1:13" s="20" customFormat="1" ht="24.75" customHeight="1">
      <c r="A183" s="41"/>
      <c r="B183" s="17"/>
      <c r="C183" s="51"/>
      <c r="D183" s="139"/>
      <c r="E183" s="18"/>
      <c r="F183" s="28"/>
      <c r="G183" s="118"/>
      <c r="H183" s="35"/>
      <c r="I183" s="127"/>
      <c r="J183" s="122"/>
      <c r="K183" s="19"/>
      <c r="L183" s="19"/>
      <c r="M183" s="16"/>
    </row>
    <row r="184" spans="1:13" s="20" customFormat="1" ht="24.75" customHeight="1">
      <c r="A184" s="41"/>
      <c r="B184" s="17"/>
      <c r="C184" s="51"/>
      <c r="D184" s="139"/>
      <c r="E184" s="18"/>
      <c r="F184" s="28"/>
      <c r="G184" s="118"/>
      <c r="H184" s="35"/>
      <c r="I184" s="127"/>
      <c r="J184" s="122"/>
      <c r="K184" s="19"/>
      <c r="L184" s="19"/>
      <c r="M184" s="16"/>
    </row>
    <row r="185" spans="1:13" s="20" customFormat="1" ht="24.75" customHeight="1">
      <c r="A185" s="41"/>
      <c r="B185" s="17"/>
      <c r="C185" s="51"/>
      <c r="D185" s="139"/>
      <c r="E185" s="18"/>
      <c r="F185" s="28"/>
      <c r="G185" s="118"/>
      <c r="H185" s="35"/>
      <c r="I185" s="127"/>
      <c r="J185" s="122"/>
      <c r="K185" s="19"/>
      <c r="L185" s="19"/>
      <c r="M185" s="16"/>
    </row>
    <row r="186" spans="1:13" s="20" customFormat="1" ht="24.75" customHeight="1">
      <c r="A186" s="41"/>
      <c r="B186" s="17"/>
      <c r="C186" s="51"/>
      <c r="D186" s="139"/>
      <c r="E186" s="18"/>
      <c r="F186" s="28"/>
      <c r="G186" s="118"/>
      <c r="H186" s="35"/>
      <c r="I186" s="127"/>
      <c r="J186" s="122"/>
      <c r="K186" s="19"/>
      <c r="L186" s="19"/>
      <c r="M186" s="16"/>
    </row>
    <row r="187" spans="1:13" s="20" customFormat="1" ht="24.75" customHeight="1">
      <c r="A187" s="41"/>
      <c r="B187" s="17"/>
      <c r="C187" s="51"/>
      <c r="D187" s="139"/>
      <c r="E187" s="18"/>
      <c r="F187" s="28"/>
      <c r="G187" s="118"/>
      <c r="H187" s="35"/>
      <c r="I187" s="127"/>
      <c r="J187" s="122"/>
      <c r="K187" s="19"/>
      <c r="L187" s="19"/>
      <c r="M187" s="16"/>
    </row>
    <row r="188" spans="1:13" s="20" customFormat="1" ht="24.75" customHeight="1">
      <c r="A188" s="41"/>
      <c r="B188" s="17"/>
      <c r="C188" s="51"/>
      <c r="D188" s="139"/>
      <c r="E188" s="18"/>
      <c r="F188" s="28"/>
      <c r="G188" s="118"/>
      <c r="H188" s="35"/>
      <c r="I188" s="127"/>
      <c r="J188" s="122"/>
      <c r="K188" s="19"/>
      <c r="L188" s="19"/>
      <c r="M188" s="16"/>
    </row>
    <row r="189" spans="1:13" s="20" customFormat="1" ht="24.75" customHeight="1">
      <c r="A189" s="41"/>
      <c r="B189" s="17"/>
      <c r="C189" s="51"/>
      <c r="D189" s="139"/>
      <c r="E189" s="18"/>
      <c r="F189" s="28"/>
      <c r="G189" s="118"/>
      <c r="H189" s="35"/>
      <c r="I189" s="127"/>
      <c r="J189" s="122"/>
      <c r="K189" s="19"/>
      <c r="L189" s="19"/>
      <c r="M189" s="16"/>
    </row>
    <row r="190" spans="1:13" s="20" customFormat="1" ht="24.75" customHeight="1">
      <c r="A190" s="41"/>
      <c r="B190" s="17"/>
      <c r="C190" s="51"/>
      <c r="D190" s="139"/>
      <c r="E190" s="18"/>
      <c r="F190" s="28"/>
      <c r="G190" s="118"/>
      <c r="H190" s="35"/>
      <c r="I190" s="127"/>
      <c r="J190" s="122"/>
      <c r="K190" s="19"/>
      <c r="L190" s="19"/>
      <c r="M190" s="16"/>
    </row>
    <row r="191" spans="1:13" s="20" customFormat="1" ht="24.75" customHeight="1">
      <c r="A191" s="41"/>
      <c r="B191" s="17"/>
      <c r="C191" s="51"/>
      <c r="D191" s="139"/>
      <c r="E191" s="18"/>
      <c r="F191" s="28"/>
      <c r="G191" s="118"/>
      <c r="H191" s="35"/>
      <c r="I191" s="127"/>
      <c r="J191" s="122"/>
      <c r="K191" s="19"/>
      <c r="L191" s="19"/>
      <c r="M191" s="16"/>
    </row>
    <row r="192" spans="1:13" s="20" customFormat="1" ht="24.75" customHeight="1">
      <c r="A192" s="41"/>
      <c r="B192" s="17"/>
      <c r="C192" s="51"/>
      <c r="D192" s="139"/>
      <c r="E192" s="18"/>
      <c r="F192" s="28"/>
      <c r="G192" s="118"/>
      <c r="H192" s="35"/>
      <c r="I192" s="127"/>
      <c r="J192" s="122"/>
      <c r="K192" s="19"/>
      <c r="L192" s="19"/>
      <c r="M192" s="16"/>
    </row>
    <row r="193" spans="1:13" s="20" customFormat="1" ht="24.75" customHeight="1">
      <c r="A193" s="41"/>
      <c r="B193" s="17"/>
      <c r="C193" s="51"/>
      <c r="D193" s="139"/>
      <c r="E193" s="18"/>
      <c r="F193" s="28"/>
      <c r="G193" s="118"/>
      <c r="H193" s="35"/>
      <c r="I193" s="127"/>
      <c r="J193" s="122"/>
      <c r="K193" s="19"/>
      <c r="L193" s="19"/>
      <c r="M193" s="16"/>
    </row>
    <row r="194" spans="1:13" s="20" customFormat="1" ht="24.75" customHeight="1">
      <c r="A194" s="41"/>
      <c r="B194" s="17"/>
      <c r="C194" s="51"/>
      <c r="D194" s="139"/>
      <c r="E194" s="18"/>
      <c r="F194" s="28"/>
      <c r="G194" s="118"/>
      <c r="H194" s="35"/>
      <c r="I194" s="127"/>
      <c r="J194" s="122"/>
      <c r="K194" s="19"/>
      <c r="L194" s="19"/>
      <c r="M194" s="16"/>
    </row>
    <row r="195" spans="1:13" s="20" customFormat="1" ht="24.75" customHeight="1">
      <c r="A195" s="41"/>
      <c r="B195" s="17"/>
      <c r="C195" s="51"/>
      <c r="D195" s="139"/>
      <c r="E195" s="18"/>
      <c r="F195" s="28"/>
      <c r="G195" s="118"/>
      <c r="H195" s="35"/>
      <c r="I195" s="127"/>
      <c r="J195" s="122"/>
      <c r="K195" s="19"/>
      <c r="L195" s="19"/>
      <c r="M195" s="16"/>
    </row>
    <row r="196" spans="1:13" s="20" customFormat="1" ht="24.75" customHeight="1">
      <c r="A196" s="41"/>
      <c r="B196" s="17"/>
      <c r="C196" s="51"/>
      <c r="D196" s="139"/>
      <c r="E196" s="18"/>
      <c r="F196" s="28"/>
      <c r="G196" s="118"/>
      <c r="H196" s="35"/>
      <c r="I196" s="127"/>
      <c r="J196" s="122"/>
      <c r="K196" s="19"/>
      <c r="L196" s="19"/>
      <c r="M196" s="16"/>
    </row>
    <row r="197" spans="1:13" s="20" customFormat="1" ht="24.75" customHeight="1">
      <c r="A197" s="41"/>
      <c r="B197" s="17"/>
      <c r="C197" s="51"/>
      <c r="D197" s="139"/>
      <c r="E197" s="18"/>
      <c r="F197" s="28"/>
      <c r="G197" s="118"/>
      <c r="H197" s="35"/>
      <c r="I197" s="127"/>
      <c r="J197" s="122"/>
      <c r="K197" s="19"/>
      <c r="L197" s="19"/>
      <c r="M197" s="16"/>
    </row>
    <row r="198" spans="1:13" s="20" customFormat="1" ht="24.75" customHeight="1">
      <c r="A198" s="41"/>
      <c r="B198" s="17"/>
      <c r="C198" s="51"/>
      <c r="D198" s="139"/>
      <c r="E198" s="18"/>
      <c r="F198" s="28"/>
      <c r="G198" s="118"/>
      <c r="H198" s="35"/>
      <c r="I198" s="127"/>
      <c r="J198" s="122"/>
      <c r="K198" s="19"/>
      <c r="L198" s="19"/>
      <c r="M198" s="16"/>
    </row>
    <row r="199" spans="1:13" s="20" customFormat="1" ht="24.75" customHeight="1">
      <c r="A199" s="41"/>
      <c r="B199" s="17"/>
      <c r="C199" s="51"/>
      <c r="D199" s="139"/>
      <c r="E199" s="18"/>
      <c r="F199" s="28"/>
      <c r="G199" s="118"/>
      <c r="H199" s="35"/>
      <c r="I199" s="127"/>
      <c r="J199" s="122"/>
      <c r="K199" s="19"/>
      <c r="L199" s="19"/>
      <c r="M199" s="16"/>
    </row>
    <row r="200" spans="1:13" s="20" customFormat="1" ht="24.75" customHeight="1">
      <c r="A200" s="41"/>
      <c r="B200" s="17"/>
      <c r="C200" s="51"/>
      <c r="D200" s="139"/>
      <c r="E200" s="18"/>
      <c r="F200" s="28"/>
      <c r="G200" s="118"/>
      <c r="H200" s="35"/>
      <c r="I200" s="127"/>
      <c r="J200" s="122"/>
      <c r="K200" s="19"/>
      <c r="L200" s="19"/>
      <c r="M200" s="16"/>
    </row>
    <row r="201" spans="1:13" s="20" customFormat="1" ht="24.75" customHeight="1">
      <c r="A201" s="41"/>
      <c r="B201" s="17"/>
      <c r="C201" s="51"/>
      <c r="D201" s="139"/>
      <c r="E201" s="18"/>
      <c r="F201" s="28"/>
      <c r="G201" s="118"/>
      <c r="H201" s="35"/>
      <c r="I201" s="127"/>
      <c r="J201" s="122"/>
      <c r="K201" s="19"/>
      <c r="L201" s="19"/>
      <c r="M201" s="16"/>
    </row>
    <row r="202" spans="1:13" s="20" customFormat="1" ht="24.75" customHeight="1">
      <c r="A202" s="41"/>
      <c r="B202" s="17"/>
      <c r="C202" s="51"/>
      <c r="D202" s="139"/>
      <c r="E202" s="18"/>
      <c r="F202" s="28"/>
      <c r="G202" s="118"/>
      <c r="H202" s="35"/>
      <c r="I202" s="127"/>
      <c r="J202" s="122"/>
      <c r="K202" s="19"/>
      <c r="L202" s="19"/>
      <c r="M202" s="16"/>
    </row>
    <row r="203" spans="1:13" s="20" customFormat="1" ht="24.75" customHeight="1">
      <c r="A203" s="41"/>
      <c r="B203" s="17"/>
      <c r="C203" s="51"/>
      <c r="D203" s="139"/>
      <c r="E203" s="18"/>
      <c r="F203" s="28"/>
      <c r="G203" s="118"/>
      <c r="H203" s="35"/>
      <c r="I203" s="127"/>
      <c r="J203" s="122"/>
      <c r="K203" s="19"/>
      <c r="L203" s="19"/>
      <c r="M203" s="16"/>
    </row>
    <row r="204" spans="1:13" s="20" customFormat="1" ht="24.75" customHeight="1">
      <c r="A204" s="41"/>
      <c r="B204" s="17"/>
      <c r="C204" s="51"/>
      <c r="D204" s="139"/>
      <c r="E204" s="18"/>
      <c r="F204" s="28"/>
      <c r="G204" s="118"/>
      <c r="H204" s="35"/>
      <c r="I204" s="127"/>
      <c r="J204" s="122"/>
      <c r="K204" s="19"/>
      <c r="L204" s="19"/>
      <c r="M204" s="16"/>
    </row>
    <row r="205" spans="1:13" s="20" customFormat="1" ht="24.75" customHeight="1">
      <c r="A205" s="41"/>
      <c r="B205" s="17"/>
      <c r="C205" s="51"/>
      <c r="D205" s="139"/>
      <c r="E205" s="18"/>
      <c r="F205" s="28"/>
      <c r="G205" s="118"/>
      <c r="H205" s="35"/>
      <c r="I205" s="127"/>
      <c r="J205" s="122"/>
      <c r="K205" s="19"/>
      <c r="L205" s="19"/>
      <c r="M205" s="16"/>
    </row>
    <row r="206" spans="1:13" s="20" customFormat="1" ht="24.75" customHeight="1">
      <c r="A206" s="41"/>
      <c r="B206" s="17"/>
      <c r="C206" s="51"/>
      <c r="D206" s="139"/>
      <c r="E206" s="18"/>
      <c r="F206" s="28"/>
      <c r="G206" s="118"/>
      <c r="H206" s="35"/>
      <c r="I206" s="127"/>
      <c r="J206" s="122"/>
      <c r="K206" s="19"/>
      <c r="L206" s="19"/>
      <c r="M206" s="16"/>
    </row>
    <row r="207" spans="1:13" s="20" customFormat="1" ht="24.75" customHeight="1">
      <c r="A207" s="41"/>
      <c r="B207" s="17"/>
      <c r="C207" s="51"/>
      <c r="D207" s="139"/>
      <c r="E207" s="18"/>
      <c r="F207" s="28"/>
      <c r="G207" s="118"/>
      <c r="H207" s="35"/>
      <c r="I207" s="127"/>
      <c r="J207" s="122"/>
      <c r="K207" s="19"/>
      <c r="L207" s="19"/>
      <c r="M207" s="16"/>
    </row>
    <row r="208" spans="1:13" s="20" customFormat="1" ht="24.75" customHeight="1">
      <c r="A208" s="41"/>
      <c r="B208" s="17"/>
      <c r="C208" s="51"/>
      <c r="D208" s="139"/>
      <c r="E208" s="18"/>
      <c r="F208" s="28"/>
      <c r="G208" s="118"/>
      <c r="H208" s="35"/>
      <c r="I208" s="127"/>
      <c r="J208" s="122"/>
      <c r="K208" s="19"/>
      <c r="L208" s="19"/>
      <c r="M208" s="16"/>
    </row>
    <row r="209" spans="1:13" s="20" customFormat="1" ht="24.75" customHeight="1">
      <c r="A209" s="41"/>
      <c r="B209" s="17"/>
      <c r="C209" s="51"/>
      <c r="D209" s="139"/>
      <c r="E209" s="18"/>
      <c r="F209" s="28"/>
      <c r="G209" s="118"/>
      <c r="H209" s="35"/>
      <c r="I209" s="127"/>
      <c r="J209" s="122"/>
      <c r="K209" s="19"/>
      <c r="L209" s="19"/>
      <c r="M209" s="16"/>
    </row>
    <row r="210" spans="1:13" s="20" customFormat="1" ht="24.75" customHeight="1">
      <c r="A210" s="41"/>
      <c r="B210" s="17"/>
      <c r="C210" s="51"/>
      <c r="D210" s="139"/>
      <c r="E210" s="18"/>
      <c r="F210" s="28"/>
      <c r="G210" s="118"/>
      <c r="H210" s="35"/>
      <c r="I210" s="127"/>
      <c r="J210" s="122"/>
      <c r="K210" s="19"/>
      <c r="L210" s="19"/>
      <c r="M210" s="16"/>
    </row>
    <row r="211" spans="1:13" s="20" customFormat="1" ht="24.75" customHeight="1">
      <c r="A211" s="41"/>
      <c r="B211" s="17"/>
      <c r="C211" s="51"/>
      <c r="D211" s="139"/>
      <c r="E211" s="18"/>
      <c r="F211" s="28"/>
      <c r="G211" s="118"/>
      <c r="H211" s="35"/>
      <c r="I211" s="127"/>
      <c r="J211" s="122"/>
      <c r="K211" s="19"/>
      <c r="L211" s="19"/>
      <c r="M211" s="16"/>
    </row>
    <row r="212" spans="1:13" s="20" customFormat="1" ht="24.75" customHeight="1">
      <c r="A212" s="41"/>
      <c r="B212" s="17"/>
      <c r="C212" s="51"/>
      <c r="D212" s="139"/>
      <c r="E212" s="18"/>
      <c r="F212" s="28"/>
      <c r="G212" s="118"/>
      <c r="H212" s="35"/>
      <c r="I212" s="127"/>
      <c r="J212" s="122"/>
      <c r="K212" s="19"/>
      <c r="L212" s="19"/>
      <c r="M212" s="16"/>
    </row>
    <row r="213" spans="1:13" s="20" customFormat="1" ht="24.75" customHeight="1">
      <c r="A213" s="41"/>
      <c r="B213" s="17"/>
      <c r="C213" s="51"/>
      <c r="D213" s="139"/>
      <c r="E213" s="18"/>
      <c r="F213" s="28"/>
      <c r="G213" s="118"/>
      <c r="H213" s="35"/>
      <c r="I213" s="127"/>
      <c r="J213" s="122"/>
      <c r="K213" s="19"/>
      <c r="L213" s="19"/>
      <c r="M213" s="16"/>
    </row>
    <row r="214" spans="1:13" s="20" customFormat="1" ht="24.75" customHeight="1">
      <c r="A214" s="41"/>
      <c r="B214" s="17"/>
      <c r="C214" s="51"/>
      <c r="D214" s="139"/>
      <c r="E214" s="18"/>
      <c r="F214" s="28"/>
      <c r="G214" s="118"/>
      <c r="H214" s="35"/>
      <c r="I214" s="127"/>
      <c r="J214" s="122"/>
      <c r="K214" s="19"/>
      <c r="L214" s="19"/>
      <c r="M214" s="16"/>
    </row>
    <row r="215" spans="1:13" s="20" customFormat="1" ht="24.75" customHeight="1">
      <c r="A215" s="41"/>
      <c r="B215" s="17"/>
      <c r="C215" s="51"/>
      <c r="D215" s="139"/>
      <c r="E215" s="18"/>
      <c r="F215" s="28"/>
      <c r="G215" s="118"/>
      <c r="H215" s="35"/>
      <c r="I215" s="127"/>
      <c r="J215" s="122"/>
      <c r="K215" s="19"/>
      <c r="L215" s="19"/>
      <c r="M215" s="16"/>
    </row>
    <row r="216" spans="1:13" s="20" customFormat="1" ht="24.75" customHeight="1">
      <c r="A216" s="41"/>
      <c r="B216" s="17"/>
      <c r="C216" s="51"/>
      <c r="D216" s="139"/>
      <c r="E216" s="18"/>
      <c r="F216" s="28"/>
      <c r="G216" s="118"/>
      <c r="H216" s="35"/>
      <c r="I216" s="127"/>
      <c r="J216" s="122"/>
      <c r="K216" s="19"/>
      <c r="L216" s="19"/>
      <c r="M216" s="16"/>
    </row>
    <row r="217" spans="1:13" s="20" customFormat="1" ht="24.75" customHeight="1">
      <c r="A217" s="41"/>
      <c r="B217" s="17"/>
      <c r="C217" s="51"/>
      <c r="D217" s="139"/>
      <c r="E217" s="18"/>
      <c r="F217" s="28"/>
      <c r="G217" s="118"/>
      <c r="H217" s="35"/>
      <c r="I217" s="127"/>
      <c r="J217" s="122"/>
      <c r="K217" s="19"/>
      <c r="L217" s="19"/>
      <c r="M217" s="16"/>
    </row>
    <row r="218" spans="1:13" s="20" customFormat="1" ht="24.75" customHeight="1">
      <c r="A218" s="41"/>
      <c r="B218" s="17"/>
      <c r="C218" s="51"/>
      <c r="D218" s="139"/>
      <c r="E218" s="18"/>
      <c r="F218" s="28"/>
      <c r="G218" s="118"/>
      <c r="H218" s="35"/>
      <c r="I218" s="127"/>
      <c r="J218" s="122"/>
      <c r="K218" s="19"/>
      <c r="L218" s="19"/>
      <c r="M218" s="16"/>
    </row>
    <row r="219" spans="1:13" s="20" customFormat="1" ht="24.75" customHeight="1">
      <c r="A219" s="41"/>
      <c r="B219" s="17"/>
      <c r="C219" s="51"/>
      <c r="D219" s="139"/>
      <c r="E219" s="18"/>
      <c r="F219" s="28"/>
      <c r="G219" s="118"/>
      <c r="H219" s="35"/>
      <c r="I219" s="127"/>
      <c r="J219" s="122"/>
      <c r="K219" s="19"/>
      <c r="L219" s="19"/>
      <c r="M219" s="16"/>
    </row>
    <row r="220" spans="1:13" s="20" customFormat="1" ht="24.75" customHeight="1">
      <c r="A220" s="41"/>
      <c r="B220" s="17"/>
      <c r="C220" s="51"/>
      <c r="D220" s="139"/>
      <c r="E220" s="18"/>
      <c r="F220" s="28"/>
      <c r="G220" s="118"/>
      <c r="H220" s="35"/>
      <c r="I220" s="127"/>
      <c r="J220" s="122"/>
      <c r="K220" s="19"/>
      <c r="L220" s="19"/>
      <c r="M220" s="16"/>
    </row>
    <row r="221" spans="1:13" s="20" customFormat="1" ht="24.75" customHeight="1">
      <c r="A221" s="41"/>
      <c r="B221" s="17"/>
      <c r="C221" s="51"/>
      <c r="D221" s="139"/>
      <c r="E221" s="18"/>
      <c r="F221" s="28"/>
      <c r="G221" s="118"/>
      <c r="H221" s="35"/>
      <c r="I221" s="127"/>
      <c r="J221" s="122"/>
      <c r="K221" s="19"/>
      <c r="L221" s="19"/>
      <c r="M221" s="16"/>
    </row>
    <row r="222" spans="1:13" s="20" customFormat="1" ht="24.75" customHeight="1">
      <c r="A222" s="41"/>
      <c r="B222" s="17"/>
      <c r="C222" s="51"/>
      <c r="D222" s="139"/>
      <c r="E222" s="18"/>
      <c r="F222" s="28"/>
      <c r="G222" s="118"/>
      <c r="H222" s="35"/>
      <c r="I222" s="127"/>
      <c r="J222" s="122"/>
      <c r="K222" s="19"/>
      <c r="L222" s="19"/>
      <c r="M222" s="16"/>
    </row>
    <row r="223" spans="1:13" s="20" customFormat="1" ht="24.75" customHeight="1">
      <c r="A223" s="41"/>
      <c r="B223" s="17"/>
      <c r="C223" s="51"/>
      <c r="D223" s="139"/>
      <c r="E223" s="18"/>
      <c r="F223" s="28"/>
      <c r="G223" s="118"/>
      <c r="H223" s="35"/>
      <c r="I223" s="127"/>
      <c r="J223" s="122"/>
      <c r="K223" s="19"/>
      <c r="L223" s="19"/>
      <c r="M223" s="16"/>
    </row>
    <row r="224" spans="1:13" s="20" customFormat="1" ht="24.75" customHeight="1">
      <c r="A224" s="41"/>
      <c r="B224" s="17"/>
      <c r="C224" s="51"/>
      <c r="D224" s="139"/>
      <c r="E224" s="18"/>
      <c r="F224" s="28"/>
      <c r="G224" s="118"/>
      <c r="H224" s="35"/>
      <c r="I224" s="127"/>
      <c r="J224" s="122"/>
      <c r="K224" s="19"/>
      <c r="L224" s="19"/>
      <c r="M224" s="16"/>
    </row>
    <row r="225" spans="1:13" s="20" customFormat="1" ht="24.75" customHeight="1">
      <c r="A225" s="41"/>
      <c r="B225" s="17"/>
      <c r="C225" s="51"/>
      <c r="D225" s="139"/>
      <c r="E225" s="18"/>
      <c r="F225" s="28"/>
      <c r="G225" s="118"/>
      <c r="H225" s="35"/>
      <c r="I225" s="127"/>
      <c r="J225" s="122"/>
      <c r="K225" s="19"/>
      <c r="L225" s="19"/>
      <c r="M225" s="16"/>
    </row>
    <row r="226" spans="1:13" s="20" customFormat="1" ht="24.75" customHeight="1">
      <c r="A226" s="41"/>
      <c r="B226" s="17"/>
      <c r="C226" s="51"/>
      <c r="D226" s="139"/>
      <c r="E226" s="18"/>
      <c r="F226" s="28"/>
      <c r="G226" s="118"/>
      <c r="H226" s="35"/>
      <c r="I226" s="127"/>
      <c r="J226" s="122"/>
      <c r="K226" s="19"/>
      <c r="L226" s="19"/>
      <c r="M226" s="16"/>
    </row>
    <row r="227" spans="1:13" s="20" customFormat="1" ht="24.75" customHeight="1">
      <c r="A227" s="41"/>
      <c r="B227" s="17"/>
      <c r="C227" s="51"/>
      <c r="D227" s="139"/>
      <c r="E227" s="18"/>
      <c r="F227" s="28"/>
      <c r="G227" s="118"/>
      <c r="H227" s="35"/>
      <c r="I227" s="127"/>
      <c r="J227" s="122"/>
      <c r="K227" s="19"/>
      <c r="L227" s="19"/>
      <c r="M227" s="16"/>
    </row>
    <row r="228" spans="1:13" s="20" customFormat="1" ht="24.75" customHeight="1">
      <c r="A228" s="41"/>
      <c r="B228" s="17"/>
      <c r="C228" s="51"/>
      <c r="D228" s="139"/>
      <c r="E228" s="18"/>
      <c r="F228" s="28"/>
      <c r="G228" s="118"/>
      <c r="H228" s="35"/>
      <c r="I228" s="127"/>
      <c r="J228" s="122"/>
      <c r="K228" s="19"/>
      <c r="L228" s="19"/>
      <c r="M228" s="16"/>
    </row>
    <row r="229" spans="1:13" s="20" customFormat="1" ht="24.75" customHeight="1">
      <c r="A229" s="41"/>
      <c r="B229" s="17"/>
      <c r="C229" s="51"/>
      <c r="D229" s="139"/>
      <c r="E229" s="18"/>
      <c r="F229" s="28"/>
      <c r="G229" s="118"/>
      <c r="H229" s="35"/>
      <c r="I229" s="127"/>
      <c r="J229" s="122"/>
      <c r="K229" s="19"/>
      <c r="L229" s="19"/>
      <c r="M229" s="16"/>
    </row>
    <row r="230" spans="1:13" s="20" customFormat="1" ht="24.75" customHeight="1">
      <c r="A230" s="41"/>
      <c r="B230" s="17"/>
      <c r="C230" s="51"/>
      <c r="D230" s="139"/>
      <c r="E230" s="18"/>
      <c r="F230" s="28"/>
      <c r="G230" s="118"/>
      <c r="H230" s="35"/>
      <c r="I230" s="127"/>
      <c r="J230" s="122"/>
      <c r="K230" s="19"/>
      <c r="L230" s="19"/>
      <c r="M230" s="16"/>
    </row>
    <row r="231" spans="1:13" s="20" customFormat="1" ht="24.75" customHeight="1">
      <c r="A231" s="41"/>
      <c r="B231" s="17"/>
      <c r="C231" s="51"/>
      <c r="D231" s="139"/>
      <c r="E231" s="18"/>
      <c r="F231" s="28"/>
      <c r="G231" s="118"/>
      <c r="H231" s="35"/>
      <c r="I231" s="127"/>
      <c r="J231" s="122"/>
      <c r="K231" s="19"/>
      <c r="L231" s="19"/>
      <c r="M231" s="16"/>
    </row>
    <row r="232" spans="1:13" s="20" customFormat="1" ht="24.75" customHeight="1">
      <c r="A232" s="41"/>
      <c r="B232" s="17"/>
      <c r="C232" s="51"/>
      <c r="D232" s="139"/>
      <c r="E232" s="18"/>
      <c r="F232" s="28"/>
      <c r="G232" s="118"/>
      <c r="H232" s="35"/>
      <c r="I232" s="127"/>
      <c r="J232" s="122"/>
      <c r="K232" s="19"/>
      <c r="L232" s="19"/>
      <c r="M232" s="16"/>
    </row>
    <row r="233" spans="1:13" s="20" customFormat="1" ht="24.75" customHeight="1">
      <c r="A233" s="41"/>
      <c r="B233" s="17"/>
      <c r="C233" s="51"/>
      <c r="D233" s="139"/>
      <c r="E233" s="18"/>
      <c r="F233" s="28"/>
      <c r="G233" s="118"/>
      <c r="H233" s="35"/>
      <c r="I233" s="127"/>
      <c r="J233" s="122"/>
      <c r="K233" s="19"/>
      <c r="L233" s="19"/>
      <c r="M233" s="16"/>
    </row>
    <row r="234" spans="1:13" s="20" customFormat="1" ht="24.75" customHeight="1">
      <c r="A234" s="41"/>
      <c r="B234" s="17"/>
      <c r="C234" s="51"/>
      <c r="D234" s="139"/>
      <c r="E234" s="18"/>
      <c r="F234" s="28"/>
      <c r="G234" s="118"/>
      <c r="H234" s="35"/>
      <c r="I234" s="127"/>
      <c r="J234" s="122"/>
      <c r="K234" s="19"/>
      <c r="L234" s="19"/>
      <c r="M234" s="16"/>
    </row>
    <row r="235" spans="1:13" s="20" customFormat="1" ht="24.75" customHeight="1">
      <c r="A235" s="41"/>
      <c r="B235" s="17"/>
      <c r="C235" s="51"/>
      <c r="D235" s="139"/>
      <c r="E235" s="18"/>
      <c r="F235" s="28"/>
      <c r="G235" s="118"/>
      <c r="H235" s="35"/>
      <c r="I235" s="127"/>
      <c r="J235" s="122"/>
      <c r="K235" s="19"/>
      <c r="L235" s="19"/>
      <c r="M235" s="16"/>
    </row>
    <row r="236" spans="1:13" s="20" customFormat="1" ht="24.75" customHeight="1">
      <c r="A236" s="41"/>
      <c r="B236" s="17"/>
      <c r="C236" s="51"/>
      <c r="D236" s="139"/>
      <c r="E236" s="18"/>
      <c r="F236" s="28"/>
      <c r="G236" s="118"/>
      <c r="H236" s="35"/>
      <c r="I236" s="127"/>
      <c r="J236" s="122"/>
      <c r="K236" s="19"/>
      <c r="L236" s="19"/>
      <c r="M236" s="16"/>
    </row>
    <row r="237" spans="1:13" s="20" customFormat="1" ht="24.75" customHeight="1">
      <c r="A237" s="41"/>
      <c r="B237" s="17"/>
      <c r="C237" s="51"/>
      <c r="D237" s="139"/>
      <c r="E237" s="18"/>
      <c r="F237" s="28"/>
      <c r="G237" s="118"/>
      <c r="H237" s="35"/>
      <c r="I237" s="127"/>
      <c r="J237" s="122"/>
      <c r="K237" s="19"/>
      <c r="L237" s="19"/>
      <c r="M237" s="16"/>
    </row>
    <row r="238" spans="1:13" s="20" customFormat="1" ht="24.75" customHeight="1">
      <c r="A238" s="41"/>
      <c r="B238" s="17"/>
      <c r="C238" s="51"/>
      <c r="D238" s="139"/>
      <c r="E238" s="18"/>
      <c r="F238" s="28"/>
      <c r="G238" s="118"/>
      <c r="H238" s="35"/>
      <c r="I238" s="127"/>
      <c r="J238" s="122"/>
      <c r="K238" s="19"/>
      <c r="L238" s="19"/>
      <c r="M238" s="16"/>
    </row>
    <row r="239" spans="1:13" s="20" customFormat="1" ht="24.75" customHeight="1">
      <c r="A239" s="41"/>
      <c r="B239" s="17"/>
      <c r="C239" s="51"/>
      <c r="D239" s="139"/>
      <c r="E239" s="18"/>
      <c r="F239" s="28"/>
      <c r="G239" s="118"/>
      <c r="H239" s="35"/>
      <c r="I239" s="127"/>
      <c r="J239" s="122"/>
      <c r="K239" s="19"/>
      <c r="L239" s="19"/>
      <c r="M239" s="16"/>
    </row>
    <row r="240" spans="1:13" s="20" customFormat="1" ht="24.75" customHeight="1">
      <c r="A240" s="41"/>
      <c r="B240" s="17"/>
      <c r="C240" s="51"/>
      <c r="D240" s="139"/>
      <c r="E240" s="18"/>
      <c r="F240" s="28"/>
      <c r="G240" s="118"/>
      <c r="H240" s="35"/>
      <c r="I240" s="127"/>
      <c r="J240" s="122"/>
      <c r="K240" s="19"/>
      <c r="L240" s="19"/>
      <c r="M240" s="16"/>
    </row>
    <row r="241" spans="1:13" s="20" customFormat="1" ht="24.75" customHeight="1">
      <c r="A241" s="41"/>
      <c r="B241" s="17"/>
      <c r="C241" s="51"/>
      <c r="D241" s="139"/>
      <c r="E241" s="18"/>
      <c r="F241" s="28"/>
      <c r="G241" s="118"/>
      <c r="H241" s="35"/>
      <c r="I241" s="127"/>
      <c r="J241" s="122"/>
      <c r="K241" s="19"/>
      <c r="L241" s="19"/>
      <c r="M241" s="16"/>
    </row>
    <row r="242" spans="1:13" s="20" customFormat="1" ht="24.75" customHeight="1">
      <c r="A242" s="41"/>
      <c r="B242" s="17"/>
      <c r="C242" s="51"/>
      <c r="D242" s="139"/>
      <c r="E242" s="18"/>
      <c r="F242" s="28"/>
      <c r="G242" s="118"/>
      <c r="H242" s="35"/>
      <c r="I242" s="127"/>
      <c r="J242" s="122"/>
      <c r="K242" s="19"/>
      <c r="L242" s="19"/>
      <c r="M242" s="16"/>
    </row>
    <row r="243" spans="1:13" s="20" customFormat="1" ht="24.75" customHeight="1">
      <c r="A243" s="41"/>
      <c r="B243" s="17"/>
      <c r="C243" s="51"/>
      <c r="D243" s="139"/>
      <c r="E243" s="18"/>
      <c r="F243" s="28"/>
      <c r="G243" s="118"/>
      <c r="H243" s="35"/>
      <c r="I243" s="127"/>
      <c r="J243" s="122"/>
      <c r="K243" s="19"/>
      <c r="L243" s="19"/>
      <c r="M243" s="16"/>
    </row>
    <row r="244" spans="1:13" s="20" customFormat="1" ht="24.75" customHeight="1">
      <c r="A244" s="41"/>
      <c r="B244" s="17"/>
      <c r="C244" s="51"/>
      <c r="D244" s="139"/>
      <c r="E244" s="18"/>
      <c r="F244" s="28"/>
      <c r="G244" s="118"/>
      <c r="H244" s="35"/>
      <c r="I244" s="127"/>
      <c r="J244" s="122"/>
      <c r="K244" s="19"/>
      <c r="L244" s="19"/>
      <c r="M244" s="16"/>
    </row>
    <row r="245" spans="1:13" s="20" customFormat="1" ht="24.75" customHeight="1">
      <c r="A245" s="41"/>
      <c r="B245" s="17"/>
      <c r="C245" s="51"/>
      <c r="D245" s="139"/>
      <c r="E245" s="18"/>
      <c r="F245" s="28"/>
      <c r="G245" s="118"/>
      <c r="H245" s="35"/>
      <c r="I245" s="127"/>
      <c r="J245" s="122"/>
      <c r="K245" s="19"/>
      <c r="L245" s="19"/>
      <c r="M245" s="16"/>
    </row>
    <row r="246" spans="1:13" s="20" customFormat="1" ht="24.75" customHeight="1">
      <c r="A246" s="41"/>
      <c r="B246" s="17"/>
      <c r="C246" s="51"/>
      <c r="D246" s="139"/>
      <c r="E246" s="18"/>
      <c r="F246" s="28"/>
      <c r="G246" s="118"/>
      <c r="H246" s="35"/>
      <c r="I246" s="127"/>
      <c r="J246" s="122"/>
      <c r="K246" s="19"/>
      <c r="L246" s="19"/>
      <c r="M246" s="16"/>
    </row>
    <row r="247" spans="1:13" s="20" customFormat="1" ht="24.75" customHeight="1">
      <c r="A247" s="41"/>
      <c r="B247" s="17"/>
      <c r="C247" s="51"/>
      <c r="D247" s="139"/>
      <c r="E247" s="18"/>
      <c r="F247" s="28"/>
      <c r="G247" s="118"/>
      <c r="H247" s="35"/>
      <c r="I247" s="127"/>
      <c r="J247" s="122"/>
      <c r="K247" s="19"/>
      <c r="L247" s="19"/>
      <c r="M247" s="16"/>
    </row>
    <row r="248" spans="1:13" s="20" customFormat="1" ht="24.75" customHeight="1">
      <c r="A248" s="41"/>
      <c r="B248" s="17"/>
      <c r="C248" s="51"/>
      <c r="D248" s="139"/>
      <c r="E248" s="18"/>
      <c r="F248" s="28"/>
      <c r="G248" s="118"/>
      <c r="H248" s="35"/>
      <c r="I248" s="127"/>
      <c r="J248" s="122"/>
      <c r="K248" s="19"/>
      <c r="L248" s="19"/>
      <c r="M248" s="16"/>
    </row>
    <row r="249" spans="1:13" s="20" customFormat="1" ht="24.75" customHeight="1">
      <c r="A249" s="41"/>
      <c r="B249" s="17"/>
      <c r="C249" s="51"/>
      <c r="D249" s="139"/>
      <c r="E249" s="18"/>
      <c r="F249" s="28"/>
      <c r="G249" s="118"/>
      <c r="H249" s="35"/>
      <c r="I249" s="127"/>
      <c r="J249" s="122"/>
      <c r="K249" s="19"/>
      <c r="L249" s="19"/>
      <c r="M249" s="16"/>
    </row>
    <row r="250" spans="1:13" s="20" customFormat="1" ht="24.75" customHeight="1">
      <c r="A250" s="41"/>
      <c r="B250" s="17"/>
      <c r="C250" s="51"/>
      <c r="D250" s="139"/>
      <c r="E250" s="18"/>
      <c r="F250" s="28"/>
      <c r="G250" s="118"/>
      <c r="H250" s="35"/>
      <c r="I250" s="127"/>
      <c r="J250" s="122"/>
      <c r="K250" s="19"/>
      <c r="L250" s="19"/>
      <c r="M250" s="16"/>
    </row>
    <row r="251" spans="1:13" s="20" customFormat="1" ht="24.75" customHeight="1">
      <c r="A251" s="41"/>
      <c r="B251" s="17"/>
      <c r="C251" s="51"/>
      <c r="D251" s="139"/>
      <c r="E251" s="18"/>
      <c r="F251" s="28"/>
      <c r="G251" s="118"/>
      <c r="H251" s="35"/>
      <c r="I251" s="127"/>
      <c r="J251" s="122"/>
      <c r="K251" s="19"/>
      <c r="L251" s="19"/>
      <c r="M251" s="16"/>
    </row>
    <row r="252" spans="1:13" s="20" customFormat="1" ht="24.75" customHeight="1">
      <c r="A252" s="41"/>
      <c r="B252" s="17"/>
      <c r="C252" s="51"/>
      <c r="D252" s="139"/>
      <c r="E252" s="18"/>
      <c r="F252" s="28"/>
      <c r="G252" s="118"/>
      <c r="H252" s="35"/>
      <c r="I252" s="127"/>
      <c r="J252" s="122"/>
      <c r="K252" s="19"/>
      <c r="L252" s="19"/>
      <c r="M252" s="16"/>
    </row>
    <row r="253" spans="1:13" s="20" customFormat="1" ht="24.75" customHeight="1">
      <c r="A253" s="41"/>
      <c r="B253" s="17"/>
      <c r="C253" s="51"/>
      <c r="D253" s="139"/>
      <c r="E253" s="18"/>
      <c r="F253" s="28"/>
      <c r="G253" s="118"/>
      <c r="H253" s="35"/>
      <c r="I253" s="127"/>
      <c r="J253" s="122"/>
      <c r="K253" s="19"/>
      <c r="L253" s="19"/>
      <c r="M253" s="16"/>
    </row>
    <row r="254" spans="1:13" s="20" customFormat="1" ht="24.75" customHeight="1">
      <c r="A254" s="41"/>
      <c r="B254" s="17"/>
      <c r="C254" s="51"/>
      <c r="D254" s="139"/>
      <c r="E254" s="18"/>
      <c r="F254" s="28"/>
      <c r="G254" s="118"/>
      <c r="H254" s="35"/>
      <c r="I254" s="127"/>
      <c r="J254" s="122"/>
      <c r="K254" s="19"/>
      <c r="L254" s="19"/>
      <c r="M254" s="16"/>
    </row>
    <row r="255" spans="1:13" s="20" customFormat="1" ht="24.75" customHeight="1">
      <c r="A255" s="41"/>
      <c r="B255" s="17"/>
      <c r="C255" s="51"/>
      <c r="D255" s="139"/>
      <c r="E255" s="18"/>
      <c r="F255" s="28"/>
      <c r="G255" s="118"/>
      <c r="H255" s="35"/>
      <c r="I255" s="127"/>
      <c r="J255" s="122"/>
      <c r="K255" s="19"/>
      <c r="L255" s="19"/>
      <c r="M255" s="16"/>
    </row>
    <row r="256" spans="1:13" s="20" customFormat="1" ht="24.75" customHeight="1">
      <c r="A256" s="41"/>
      <c r="B256" s="17"/>
      <c r="C256" s="51"/>
      <c r="D256" s="139"/>
      <c r="E256" s="18"/>
      <c r="F256" s="28"/>
      <c r="G256" s="118"/>
      <c r="H256" s="35"/>
      <c r="I256" s="127"/>
      <c r="J256" s="122"/>
      <c r="K256" s="19"/>
      <c r="L256" s="19"/>
      <c r="M256" s="16"/>
    </row>
    <row r="257" spans="1:13" s="20" customFormat="1" ht="24.75" customHeight="1">
      <c r="A257" s="41"/>
      <c r="B257" s="17"/>
      <c r="C257" s="51"/>
      <c r="D257" s="139"/>
      <c r="E257" s="18"/>
      <c r="F257" s="28"/>
      <c r="G257" s="118"/>
      <c r="H257" s="35"/>
      <c r="I257" s="127"/>
      <c r="J257" s="122"/>
      <c r="K257" s="19"/>
      <c r="L257" s="19"/>
      <c r="M257" s="16"/>
    </row>
    <row r="258" spans="1:13" s="20" customFormat="1" ht="24.75" customHeight="1">
      <c r="A258" s="41"/>
      <c r="B258" s="17"/>
      <c r="C258" s="51"/>
      <c r="D258" s="139"/>
      <c r="E258" s="18"/>
      <c r="F258" s="28"/>
      <c r="G258" s="118"/>
      <c r="H258" s="35"/>
      <c r="I258" s="127"/>
      <c r="J258" s="122"/>
      <c r="K258" s="19"/>
      <c r="L258" s="19"/>
      <c r="M258" s="16"/>
    </row>
    <row r="259" spans="1:13" s="20" customFormat="1" ht="24.75" customHeight="1">
      <c r="A259" s="41"/>
      <c r="B259" s="17"/>
      <c r="C259" s="51"/>
      <c r="D259" s="139"/>
      <c r="E259" s="18"/>
      <c r="F259" s="28"/>
      <c r="G259" s="118"/>
      <c r="H259" s="35"/>
      <c r="I259" s="127"/>
      <c r="J259" s="122"/>
      <c r="K259" s="19"/>
      <c r="L259" s="19"/>
      <c r="M259" s="16"/>
    </row>
    <row r="260" spans="1:13" s="20" customFormat="1" ht="24.75" customHeight="1">
      <c r="A260" s="41"/>
      <c r="B260" s="17"/>
      <c r="C260" s="51"/>
      <c r="D260" s="139"/>
      <c r="E260" s="18"/>
      <c r="F260" s="28"/>
      <c r="G260" s="118"/>
      <c r="H260" s="35"/>
      <c r="I260" s="127"/>
      <c r="J260" s="122"/>
      <c r="K260" s="19"/>
      <c r="L260" s="19"/>
      <c r="M260" s="16"/>
    </row>
    <row r="261" spans="1:13" s="20" customFormat="1" ht="24.75" customHeight="1">
      <c r="A261" s="41"/>
      <c r="B261" s="17"/>
      <c r="C261" s="51"/>
      <c r="D261" s="139"/>
      <c r="E261" s="18"/>
      <c r="F261" s="28"/>
      <c r="G261" s="118"/>
      <c r="H261" s="35"/>
      <c r="I261" s="127"/>
      <c r="J261" s="122"/>
      <c r="K261" s="19"/>
      <c r="L261" s="19"/>
      <c r="M261" s="16"/>
    </row>
    <row r="262" spans="1:13" s="20" customFormat="1" ht="24.75" customHeight="1">
      <c r="A262" s="41"/>
      <c r="B262" s="17"/>
      <c r="C262" s="51"/>
      <c r="D262" s="139"/>
      <c r="E262" s="18"/>
      <c r="F262" s="28"/>
      <c r="G262" s="118"/>
      <c r="H262" s="35"/>
      <c r="I262" s="127"/>
      <c r="J262" s="122"/>
      <c r="K262" s="19"/>
      <c r="L262" s="19"/>
      <c r="M262" s="16"/>
    </row>
    <row r="263" spans="1:13" s="20" customFormat="1" ht="24.75" customHeight="1">
      <c r="A263" s="41"/>
      <c r="B263" s="17"/>
      <c r="C263" s="51"/>
      <c r="D263" s="139"/>
      <c r="E263" s="18"/>
      <c r="F263" s="28"/>
      <c r="G263" s="118"/>
      <c r="H263" s="35"/>
      <c r="I263" s="127"/>
      <c r="J263" s="122"/>
      <c r="K263" s="19"/>
      <c r="L263" s="19"/>
      <c r="M263" s="16"/>
    </row>
    <row r="264" spans="1:13" s="20" customFormat="1" ht="24.75" customHeight="1">
      <c r="A264" s="41"/>
      <c r="B264" s="17"/>
      <c r="C264" s="51"/>
      <c r="D264" s="139"/>
      <c r="E264" s="18"/>
      <c r="F264" s="28"/>
      <c r="G264" s="118"/>
      <c r="H264" s="35"/>
      <c r="I264" s="127"/>
      <c r="J264" s="122"/>
      <c r="K264" s="19"/>
      <c r="L264" s="19"/>
      <c r="M264" s="16"/>
    </row>
    <row r="265" spans="1:13" s="20" customFormat="1" ht="24.75" customHeight="1">
      <c r="A265" s="41"/>
      <c r="B265" s="17"/>
      <c r="C265" s="51"/>
      <c r="D265" s="139"/>
      <c r="E265" s="18"/>
      <c r="F265" s="28"/>
      <c r="G265" s="118"/>
      <c r="H265" s="35"/>
      <c r="I265" s="127"/>
      <c r="J265" s="122"/>
      <c r="K265" s="19"/>
      <c r="L265" s="19"/>
      <c r="M265" s="16"/>
    </row>
    <row r="266" spans="1:13" s="20" customFormat="1" ht="24.75" customHeight="1">
      <c r="A266" s="41"/>
      <c r="B266" s="17"/>
      <c r="C266" s="51"/>
      <c r="D266" s="139"/>
      <c r="E266" s="18"/>
      <c r="F266" s="28"/>
      <c r="G266" s="118"/>
      <c r="H266" s="35"/>
      <c r="I266" s="127"/>
      <c r="J266" s="122"/>
      <c r="K266" s="19"/>
      <c r="L266" s="19"/>
      <c r="M266" s="16"/>
    </row>
    <row r="267" spans="1:13" s="20" customFormat="1" ht="24.75" customHeight="1">
      <c r="A267" s="41"/>
      <c r="B267" s="17"/>
      <c r="C267" s="51"/>
      <c r="D267" s="139"/>
      <c r="E267" s="18"/>
      <c r="F267" s="28"/>
      <c r="G267" s="118"/>
      <c r="H267" s="35"/>
      <c r="I267" s="127"/>
      <c r="J267" s="122"/>
      <c r="K267" s="19"/>
      <c r="L267" s="19"/>
      <c r="M267" s="16"/>
    </row>
    <row r="268" spans="1:13" s="20" customFormat="1" ht="24.75" customHeight="1">
      <c r="A268" s="41"/>
      <c r="B268" s="17"/>
      <c r="C268" s="51"/>
      <c r="D268" s="139"/>
      <c r="E268" s="18"/>
      <c r="F268" s="28"/>
      <c r="G268" s="118"/>
      <c r="H268" s="35"/>
      <c r="I268" s="127"/>
      <c r="J268" s="122"/>
      <c r="K268" s="19"/>
      <c r="L268" s="19"/>
      <c r="M268" s="16"/>
    </row>
    <row r="269" spans="1:13" s="20" customFormat="1" ht="24.75" customHeight="1">
      <c r="A269" s="41"/>
      <c r="B269" s="17"/>
      <c r="C269" s="51"/>
      <c r="D269" s="139"/>
      <c r="E269" s="18"/>
      <c r="F269" s="28"/>
      <c r="G269" s="118"/>
      <c r="H269" s="35"/>
      <c r="I269" s="127"/>
      <c r="J269" s="122"/>
      <c r="K269" s="19"/>
      <c r="L269" s="19"/>
      <c r="M269" s="16"/>
    </row>
    <row r="270" spans="1:13" s="20" customFormat="1" ht="24.75" customHeight="1">
      <c r="A270" s="41"/>
      <c r="B270" s="17"/>
      <c r="C270" s="51"/>
      <c r="D270" s="139"/>
      <c r="E270" s="18"/>
      <c r="F270" s="28"/>
      <c r="G270" s="118"/>
      <c r="H270" s="35"/>
      <c r="I270" s="127"/>
      <c r="J270" s="122"/>
      <c r="K270" s="19"/>
      <c r="L270" s="19"/>
      <c r="M270" s="16"/>
    </row>
    <row r="271" spans="1:13" s="20" customFormat="1" ht="24.75" customHeight="1">
      <c r="A271" s="41"/>
      <c r="B271" s="17"/>
      <c r="C271" s="51"/>
      <c r="D271" s="139"/>
      <c r="E271" s="18"/>
      <c r="F271" s="28"/>
      <c r="G271" s="118"/>
      <c r="H271" s="35"/>
      <c r="I271" s="127"/>
      <c r="J271" s="122"/>
      <c r="K271" s="19"/>
      <c r="L271" s="19"/>
      <c r="M271" s="16"/>
    </row>
    <row r="272" spans="1:13" s="20" customFormat="1" ht="24.75" customHeight="1">
      <c r="A272" s="41"/>
      <c r="B272" s="17"/>
      <c r="C272" s="51"/>
      <c r="D272" s="139"/>
      <c r="E272" s="18"/>
      <c r="F272" s="28"/>
      <c r="G272" s="118"/>
      <c r="H272" s="35"/>
      <c r="I272" s="127"/>
      <c r="J272" s="122"/>
      <c r="K272" s="19"/>
      <c r="L272" s="19"/>
      <c r="M272" s="16"/>
    </row>
    <row r="273" spans="1:13" s="20" customFormat="1" ht="24.75" customHeight="1">
      <c r="A273" s="41"/>
      <c r="B273" s="17"/>
      <c r="C273" s="51"/>
      <c r="D273" s="139"/>
      <c r="E273" s="18"/>
      <c r="F273" s="28"/>
      <c r="G273" s="118"/>
      <c r="H273" s="35"/>
      <c r="I273" s="127"/>
      <c r="J273" s="122"/>
      <c r="K273" s="19"/>
      <c r="L273" s="19"/>
      <c r="M273" s="16"/>
    </row>
    <row r="274" spans="1:13" s="20" customFormat="1" ht="24.75" customHeight="1">
      <c r="A274" s="41"/>
      <c r="B274" s="17"/>
      <c r="C274" s="51"/>
      <c r="D274" s="139"/>
      <c r="E274" s="18"/>
      <c r="F274" s="28"/>
      <c r="G274" s="118"/>
      <c r="H274" s="35"/>
      <c r="I274" s="127"/>
      <c r="J274" s="122"/>
      <c r="K274" s="19"/>
      <c r="L274" s="19"/>
      <c r="M274" s="16"/>
    </row>
    <row r="275" spans="1:13" s="20" customFormat="1" ht="24.75" customHeight="1">
      <c r="A275" s="41"/>
      <c r="B275" s="17"/>
      <c r="C275" s="51"/>
      <c r="D275" s="139"/>
      <c r="E275" s="18"/>
      <c r="F275" s="28"/>
      <c r="G275" s="118"/>
      <c r="H275" s="35"/>
      <c r="I275" s="127"/>
      <c r="J275" s="122"/>
      <c r="K275" s="19"/>
      <c r="L275" s="19"/>
      <c r="M275" s="16"/>
    </row>
    <row r="276" spans="1:13" s="20" customFormat="1" ht="24.75" customHeight="1">
      <c r="A276" s="41"/>
      <c r="B276" s="17"/>
      <c r="C276" s="51"/>
      <c r="D276" s="139"/>
      <c r="E276" s="18"/>
      <c r="F276" s="28"/>
      <c r="G276" s="118"/>
      <c r="H276" s="35"/>
      <c r="I276" s="127"/>
      <c r="J276" s="122"/>
      <c r="K276" s="19"/>
      <c r="L276" s="19"/>
      <c r="M276" s="16"/>
    </row>
    <row r="277" spans="1:13" s="20" customFormat="1" ht="24.75" customHeight="1">
      <c r="A277" s="41"/>
      <c r="B277" s="17"/>
      <c r="C277" s="51"/>
      <c r="D277" s="139"/>
      <c r="E277" s="18"/>
      <c r="F277" s="28"/>
      <c r="G277" s="118"/>
      <c r="H277" s="35"/>
      <c r="I277" s="127"/>
      <c r="J277" s="122"/>
      <c r="K277" s="19"/>
      <c r="L277" s="19"/>
      <c r="M277" s="16"/>
    </row>
    <row r="278" spans="1:13" s="20" customFormat="1" ht="24.75" customHeight="1">
      <c r="A278" s="41"/>
      <c r="B278" s="17"/>
      <c r="C278" s="51"/>
      <c r="D278" s="139"/>
      <c r="E278" s="18"/>
      <c r="F278" s="28"/>
      <c r="G278" s="118"/>
      <c r="H278" s="35"/>
      <c r="I278" s="127"/>
      <c r="J278" s="122"/>
      <c r="K278" s="19"/>
      <c r="L278" s="19"/>
      <c r="M278" s="16"/>
    </row>
    <row r="279" spans="1:13" s="20" customFormat="1" ht="24.75" customHeight="1">
      <c r="A279" s="41"/>
      <c r="B279" s="17"/>
      <c r="C279" s="51"/>
      <c r="D279" s="139"/>
      <c r="E279" s="18"/>
      <c r="F279" s="28"/>
      <c r="G279" s="118"/>
      <c r="H279" s="35"/>
      <c r="I279" s="127"/>
      <c r="J279" s="122"/>
      <c r="K279" s="19"/>
      <c r="L279" s="19"/>
      <c r="M279" s="16"/>
    </row>
    <row r="280" spans="1:13" s="20" customFormat="1" ht="24.75" customHeight="1">
      <c r="A280" s="41"/>
      <c r="B280" s="17"/>
      <c r="C280" s="51"/>
      <c r="D280" s="139"/>
      <c r="E280" s="18"/>
      <c r="F280" s="28"/>
      <c r="G280" s="118"/>
      <c r="H280" s="35"/>
      <c r="I280" s="127"/>
      <c r="J280" s="122"/>
      <c r="K280" s="19"/>
      <c r="L280" s="19"/>
      <c r="M280" s="16"/>
    </row>
    <row r="281" spans="1:13" s="20" customFormat="1" ht="24.75" customHeight="1">
      <c r="A281" s="41"/>
      <c r="B281" s="17"/>
      <c r="C281" s="51"/>
      <c r="D281" s="139"/>
      <c r="E281" s="18"/>
      <c r="F281" s="28"/>
      <c r="G281" s="118"/>
      <c r="H281" s="35"/>
      <c r="I281" s="127"/>
      <c r="J281" s="122"/>
      <c r="K281" s="19"/>
      <c r="L281" s="19"/>
      <c r="M281" s="16"/>
    </row>
    <row r="282" spans="1:13" s="20" customFormat="1" ht="24.75" customHeight="1">
      <c r="A282" s="41"/>
      <c r="B282" s="17"/>
      <c r="C282" s="51"/>
      <c r="D282" s="139"/>
      <c r="E282" s="18"/>
      <c r="F282" s="28"/>
      <c r="G282" s="118"/>
      <c r="H282" s="35"/>
      <c r="I282" s="127"/>
      <c r="J282" s="122"/>
      <c r="K282" s="19"/>
      <c r="L282" s="19"/>
      <c r="M282" s="16"/>
    </row>
    <row r="283" spans="1:13" s="20" customFormat="1" ht="24.75" customHeight="1">
      <c r="A283" s="41"/>
      <c r="B283" s="17"/>
      <c r="C283" s="51"/>
      <c r="D283" s="139"/>
      <c r="E283" s="18"/>
      <c r="F283" s="28"/>
      <c r="G283" s="118"/>
      <c r="H283" s="35"/>
      <c r="I283" s="127"/>
      <c r="J283" s="122"/>
      <c r="K283" s="19"/>
      <c r="L283" s="19"/>
      <c r="M283" s="16"/>
    </row>
    <row r="284" spans="1:13" s="20" customFormat="1" ht="24.75" customHeight="1">
      <c r="A284" s="41"/>
      <c r="B284" s="17"/>
      <c r="C284" s="51"/>
      <c r="D284" s="139"/>
      <c r="E284" s="18"/>
      <c r="F284" s="28"/>
      <c r="G284" s="118"/>
      <c r="H284" s="35"/>
      <c r="I284" s="127"/>
      <c r="J284" s="122"/>
      <c r="K284" s="19"/>
      <c r="L284" s="19"/>
      <c r="M284" s="16"/>
    </row>
    <row r="285" spans="1:13" s="20" customFormat="1" ht="24.75" customHeight="1">
      <c r="A285" s="41"/>
      <c r="B285" s="17"/>
      <c r="C285" s="51"/>
      <c r="D285" s="139"/>
      <c r="E285" s="18"/>
      <c r="F285" s="28"/>
      <c r="G285" s="118"/>
      <c r="H285" s="35"/>
      <c r="I285" s="127"/>
      <c r="J285" s="122"/>
      <c r="K285" s="19"/>
      <c r="L285" s="19"/>
      <c r="M285" s="16"/>
    </row>
    <row r="286" spans="1:13" s="20" customFormat="1" ht="24.75" customHeight="1">
      <c r="A286" s="41"/>
      <c r="B286" s="17"/>
      <c r="C286" s="51"/>
      <c r="D286" s="139"/>
      <c r="E286" s="18"/>
      <c r="F286" s="28"/>
      <c r="G286" s="118"/>
      <c r="H286" s="35"/>
      <c r="I286" s="127"/>
      <c r="J286" s="122"/>
      <c r="K286" s="19"/>
      <c r="L286" s="19"/>
      <c r="M286" s="16"/>
    </row>
    <row r="287" spans="1:13" s="20" customFormat="1" ht="24.75" customHeight="1">
      <c r="A287" s="41"/>
      <c r="B287" s="17"/>
      <c r="C287" s="51"/>
      <c r="D287" s="139"/>
      <c r="E287" s="18"/>
      <c r="F287" s="28"/>
      <c r="G287" s="118"/>
      <c r="H287" s="35"/>
      <c r="I287" s="127"/>
      <c r="J287" s="122"/>
      <c r="K287" s="19"/>
      <c r="L287" s="19"/>
      <c r="M287" s="16"/>
    </row>
    <row r="288" spans="1:13" s="20" customFormat="1" ht="24.75" customHeight="1">
      <c r="A288" s="41"/>
      <c r="B288" s="17"/>
      <c r="C288" s="51"/>
      <c r="D288" s="139"/>
      <c r="E288" s="18"/>
      <c r="F288" s="28"/>
      <c r="G288" s="118"/>
      <c r="H288" s="35"/>
      <c r="I288" s="127"/>
      <c r="J288" s="122"/>
      <c r="K288" s="19"/>
      <c r="L288" s="19"/>
      <c r="M288" s="16"/>
    </row>
    <row r="289" spans="1:13" s="20" customFormat="1" ht="24.75" customHeight="1">
      <c r="A289" s="41"/>
      <c r="B289" s="17"/>
      <c r="C289" s="51"/>
      <c r="D289" s="139"/>
      <c r="E289" s="18"/>
      <c r="F289" s="28"/>
      <c r="G289" s="118"/>
      <c r="H289" s="35"/>
      <c r="I289" s="127"/>
      <c r="J289" s="122"/>
      <c r="K289" s="19"/>
      <c r="L289" s="19"/>
      <c r="M289" s="16"/>
    </row>
    <row r="290" spans="1:13" s="20" customFormat="1" ht="24.75" customHeight="1">
      <c r="A290" s="41"/>
      <c r="B290" s="17"/>
      <c r="C290" s="51"/>
      <c r="D290" s="139"/>
      <c r="E290" s="18"/>
      <c r="F290" s="28"/>
      <c r="G290" s="118"/>
      <c r="H290" s="35"/>
      <c r="I290" s="127"/>
      <c r="J290" s="122"/>
      <c r="K290" s="19"/>
      <c r="L290" s="19"/>
      <c r="M290" s="16"/>
    </row>
    <row r="291" spans="1:13" s="20" customFormat="1" ht="24.75" customHeight="1">
      <c r="A291" s="41"/>
      <c r="B291" s="17"/>
      <c r="C291" s="51"/>
      <c r="D291" s="139"/>
      <c r="E291" s="18"/>
      <c r="F291" s="28"/>
      <c r="G291" s="118"/>
      <c r="H291" s="35"/>
      <c r="I291" s="127"/>
      <c r="J291" s="122"/>
      <c r="K291" s="19"/>
      <c r="L291" s="19"/>
      <c r="M291" s="16"/>
    </row>
    <row r="292" spans="1:13" s="20" customFormat="1" ht="24.75" customHeight="1">
      <c r="A292" s="41"/>
      <c r="B292" s="17"/>
      <c r="C292" s="51"/>
      <c r="D292" s="139"/>
      <c r="E292" s="18"/>
      <c r="F292" s="28"/>
      <c r="G292" s="118"/>
      <c r="H292" s="35"/>
      <c r="I292" s="127"/>
      <c r="J292" s="122"/>
      <c r="K292" s="19"/>
      <c r="L292" s="19"/>
      <c r="M292" s="16"/>
    </row>
    <row r="293" spans="1:13" s="20" customFormat="1" ht="24.75" customHeight="1">
      <c r="A293" s="41"/>
      <c r="B293" s="17"/>
      <c r="C293" s="51"/>
      <c r="D293" s="139"/>
      <c r="E293" s="18"/>
      <c r="F293" s="28"/>
      <c r="G293" s="118"/>
      <c r="H293" s="35"/>
      <c r="I293" s="127"/>
      <c r="J293" s="122"/>
      <c r="K293" s="19"/>
      <c r="L293" s="19"/>
      <c r="M293" s="16"/>
    </row>
    <row r="294" spans="1:13" s="20" customFormat="1" ht="24.75" customHeight="1">
      <c r="A294" s="41"/>
      <c r="B294" s="17"/>
      <c r="C294" s="51"/>
      <c r="D294" s="139"/>
      <c r="E294" s="18"/>
      <c r="F294" s="28"/>
      <c r="G294" s="118"/>
      <c r="H294" s="35"/>
      <c r="I294" s="127"/>
      <c r="J294" s="122"/>
      <c r="K294" s="19"/>
      <c r="L294" s="19"/>
      <c r="M294" s="16"/>
    </row>
    <row r="295" spans="1:13" s="20" customFormat="1" ht="24.75" customHeight="1">
      <c r="A295" s="41"/>
      <c r="B295" s="17"/>
      <c r="C295" s="51"/>
      <c r="D295" s="139"/>
      <c r="E295" s="18"/>
      <c r="F295" s="28"/>
      <c r="G295" s="118"/>
      <c r="H295" s="35"/>
      <c r="I295" s="127"/>
      <c r="J295" s="122"/>
      <c r="K295" s="19"/>
      <c r="L295" s="19"/>
      <c r="M295" s="16"/>
    </row>
    <row r="296" spans="1:13" s="20" customFormat="1" ht="24.75" customHeight="1">
      <c r="A296" s="41"/>
      <c r="B296" s="17"/>
      <c r="C296" s="51"/>
      <c r="D296" s="139"/>
      <c r="E296" s="18"/>
      <c r="F296" s="28"/>
      <c r="G296" s="118"/>
      <c r="H296" s="35"/>
      <c r="I296" s="127"/>
      <c r="J296" s="122"/>
      <c r="K296" s="19"/>
      <c r="L296" s="19"/>
      <c r="M296" s="16"/>
    </row>
    <row r="297" spans="1:13" s="20" customFormat="1" ht="24.75" customHeight="1">
      <c r="A297" s="41"/>
      <c r="B297" s="17"/>
      <c r="C297" s="51"/>
      <c r="D297" s="139"/>
      <c r="E297" s="18"/>
      <c r="F297" s="28"/>
      <c r="G297" s="118"/>
      <c r="H297" s="35"/>
      <c r="I297" s="127"/>
      <c r="J297" s="122"/>
      <c r="K297" s="19"/>
      <c r="L297" s="19"/>
      <c r="M297" s="16"/>
    </row>
    <row r="298" spans="1:13" s="20" customFormat="1" ht="24.75" customHeight="1">
      <c r="A298" s="41"/>
      <c r="B298" s="17"/>
      <c r="C298" s="51"/>
      <c r="D298" s="139"/>
      <c r="E298" s="18"/>
      <c r="F298" s="28"/>
      <c r="G298" s="118"/>
      <c r="H298" s="35"/>
      <c r="I298" s="127"/>
      <c r="J298" s="122"/>
      <c r="K298" s="19"/>
      <c r="L298" s="19"/>
      <c r="M298" s="16"/>
    </row>
    <row r="299" spans="1:13" s="20" customFormat="1" ht="24.75" customHeight="1">
      <c r="A299" s="41"/>
      <c r="B299" s="17"/>
      <c r="C299" s="51"/>
      <c r="D299" s="139"/>
      <c r="E299" s="18"/>
      <c r="F299" s="28"/>
      <c r="G299" s="118"/>
      <c r="H299" s="35"/>
      <c r="I299" s="127"/>
      <c r="J299" s="122"/>
      <c r="K299" s="19"/>
      <c r="L299" s="19"/>
      <c r="M299" s="16"/>
    </row>
    <row r="300" spans="1:13" s="20" customFormat="1" ht="24.75" customHeight="1">
      <c r="A300" s="41"/>
      <c r="B300" s="17"/>
      <c r="C300" s="51"/>
      <c r="D300" s="139"/>
      <c r="E300" s="18"/>
      <c r="F300" s="28"/>
      <c r="G300" s="118"/>
      <c r="H300" s="35"/>
      <c r="I300" s="127"/>
      <c r="J300" s="122"/>
      <c r="K300" s="19"/>
      <c r="L300" s="19"/>
      <c r="M300" s="16"/>
    </row>
    <row r="301" spans="1:13" s="20" customFormat="1" ht="24.75" customHeight="1">
      <c r="A301" s="41"/>
      <c r="B301" s="17"/>
      <c r="C301" s="51"/>
      <c r="D301" s="139"/>
      <c r="E301" s="18"/>
      <c r="F301" s="28"/>
      <c r="G301" s="118"/>
      <c r="H301" s="35"/>
      <c r="I301" s="127"/>
      <c r="J301" s="122"/>
      <c r="K301" s="19"/>
      <c r="L301" s="19"/>
      <c r="M301" s="16"/>
    </row>
    <row r="302" spans="1:13" s="20" customFormat="1" ht="24.75" customHeight="1">
      <c r="A302" s="41"/>
      <c r="B302" s="17"/>
      <c r="C302" s="51"/>
      <c r="D302" s="139"/>
      <c r="E302" s="18"/>
      <c r="F302" s="28"/>
      <c r="G302" s="118"/>
      <c r="H302" s="35"/>
      <c r="I302" s="127"/>
      <c r="J302" s="122"/>
      <c r="K302" s="19"/>
      <c r="L302" s="19"/>
      <c r="M302" s="16"/>
    </row>
    <row r="303" spans="1:13" s="20" customFormat="1" ht="24.75" customHeight="1">
      <c r="A303" s="41"/>
      <c r="B303" s="17"/>
      <c r="C303" s="51"/>
      <c r="D303" s="139"/>
      <c r="E303" s="18"/>
      <c r="F303" s="28"/>
      <c r="G303" s="118"/>
      <c r="H303" s="35"/>
      <c r="I303" s="127"/>
      <c r="J303" s="122"/>
      <c r="K303" s="19"/>
      <c r="L303" s="19"/>
      <c r="M303" s="16"/>
    </row>
    <row r="304" spans="1:13" s="20" customFormat="1" ht="24.75" customHeight="1">
      <c r="A304" s="41"/>
      <c r="B304" s="17"/>
      <c r="C304" s="51"/>
      <c r="D304" s="139"/>
      <c r="E304" s="18"/>
      <c r="F304" s="28"/>
      <c r="G304" s="118"/>
      <c r="H304" s="35"/>
      <c r="I304" s="127"/>
      <c r="J304" s="122"/>
      <c r="K304" s="19"/>
      <c r="L304" s="19"/>
      <c r="M304" s="16"/>
    </row>
    <row r="305" spans="1:13" s="20" customFormat="1" ht="24.75" customHeight="1">
      <c r="A305" s="41"/>
      <c r="B305" s="17"/>
      <c r="C305" s="51"/>
      <c r="D305" s="139"/>
      <c r="E305" s="18"/>
      <c r="F305" s="28"/>
      <c r="G305" s="118"/>
      <c r="H305" s="35"/>
      <c r="I305" s="127"/>
      <c r="J305" s="122"/>
      <c r="K305" s="19"/>
      <c r="L305" s="19"/>
      <c r="M305" s="16"/>
    </row>
    <row r="306" spans="1:13" s="20" customFormat="1" ht="24.75" customHeight="1">
      <c r="A306" s="41"/>
      <c r="B306" s="17"/>
      <c r="C306" s="51"/>
      <c r="D306" s="139"/>
      <c r="E306" s="18"/>
      <c r="F306" s="28"/>
      <c r="G306" s="118"/>
      <c r="H306" s="35"/>
      <c r="I306" s="127"/>
      <c r="J306" s="122"/>
      <c r="K306" s="19"/>
      <c r="L306" s="19"/>
      <c r="M306" s="16"/>
    </row>
    <row r="307" spans="1:13" s="20" customFormat="1" ht="24.75" customHeight="1">
      <c r="A307" s="41"/>
      <c r="B307" s="17"/>
      <c r="C307" s="51"/>
      <c r="D307" s="139"/>
      <c r="E307" s="18"/>
      <c r="F307" s="28"/>
      <c r="G307" s="118"/>
      <c r="H307" s="35"/>
      <c r="I307" s="127"/>
      <c r="J307" s="122"/>
      <c r="K307" s="19"/>
      <c r="L307" s="19"/>
      <c r="M307" s="16"/>
    </row>
    <row r="308" spans="1:13" s="20" customFormat="1" ht="24.75" customHeight="1">
      <c r="A308" s="41"/>
      <c r="B308" s="17"/>
      <c r="C308" s="51"/>
      <c r="D308" s="139"/>
      <c r="E308" s="18"/>
      <c r="F308" s="28"/>
      <c r="G308" s="118"/>
      <c r="H308" s="35"/>
      <c r="I308" s="127"/>
      <c r="J308" s="122"/>
      <c r="K308" s="19"/>
      <c r="L308" s="19"/>
      <c r="M308" s="16"/>
    </row>
    <row r="309" spans="1:13" s="20" customFormat="1" ht="24.75" customHeight="1">
      <c r="A309" s="41"/>
      <c r="B309" s="17"/>
      <c r="C309" s="51"/>
      <c r="D309" s="139"/>
      <c r="E309" s="18"/>
      <c r="F309" s="28"/>
      <c r="G309" s="118"/>
      <c r="H309" s="35"/>
      <c r="I309" s="127"/>
      <c r="J309" s="122"/>
      <c r="K309" s="19"/>
      <c r="L309" s="19"/>
      <c r="M309" s="16"/>
    </row>
    <row r="310" spans="1:13" s="20" customFormat="1" ht="24.75" customHeight="1">
      <c r="A310" s="41"/>
      <c r="B310" s="17"/>
      <c r="C310" s="51"/>
      <c r="D310" s="139"/>
      <c r="E310" s="18"/>
      <c r="F310" s="28"/>
      <c r="G310" s="118"/>
      <c r="H310" s="35"/>
      <c r="I310" s="127"/>
      <c r="J310" s="122"/>
      <c r="K310" s="19"/>
      <c r="L310" s="19"/>
      <c r="M310" s="16"/>
    </row>
    <row r="311" spans="1:13" s="20" customFormat="1" ht="24.75" customHeight="1">
      <c r="A311" s="41"/>
      <c r="B311" s="17"/>
      <c r="C311" s="51"/>
      <c r="D311" s="139"/>
      <c r="E311" s="18"/>
      <c r="F311" s="28"/>
      <c r="G311" s="118"/>
      <c r="H311" s="35"/>
      <c r="I311" s="127"/>
      <c r="J311" s="122"/>
      <c r="K311" s="19"/>
      <c r="L311" s="19"/>
      <c r="M311" s="16"/>
    </row>
    <row r="312" spans="1:13" s="20" customFormat="1" ht="24.75" customHeight="1">
      <c r="A312" s="41"/>
      <c r="B312" s="17"/>
      <c r="C312" s="51"/>
      <c r="D312" s="139"/>
      <c r="E312" s="18"/>
      <c r="F312" s="28"/>
      <c r="G312" s="118"/>
      <c r="H312" s="35"/>
      <c r="I312" s="127"/>
      <c r="J312" s="122"/>
      <c r="K312" s="19"/>
      <c r="L312" s="19"/>
      <c r="M312" s="16"/>
    </row>
    <row r="313" spans="1:13" s="20" customFormat="1" ht="24.75" customHeight="1">
      <c r="A313" s="41"/>
      <c r="B313" s="17"/>
      <c r="C313" s="51"/>
      <c r="D313" s="139"/>
      <c r="E313" s="18"/>
      <c r="F313" s="28"/>
      <c r="G313" s="118"/>
      <c r="H313" s="35"/>
      <c r="I313" s="127"/>
      <c r="J313" s="122"/>
      <c r="K313" s="19"/>
      <c r="L313" s="19"/>
      <c r="M313" s="16"/>
    </row>
    <row r="314" spans="1:13" s="20" customFormat="1" ht="24.75" customHeight="1">
      <c r="A314" s="41"/>
      <c r="B314" s="17"/>
      <c r="C314" s="51"/>
      <c r="D314" s="139"/>
      <c r="E314" s="18"/>
      <c r="F314" s="28"/>
      <c r="G314" s="118"/>
      <c r="H314" s="35"/>
      <c r="I314" s="127"/>
      <c r="J314" s="122"/>
      <c r="K314" s="19"/>
      <c r="L314" s="19"/>
      <c r="M314" s="16"/>
    </row>
    <row r="315" spans="1:13" s="20" customFormat="1" ht="24.75" customHeight="1">
      <c r="A315" s="41"/>
      <c r="B315" s="17"/>
      <c r="C315" s="51"/>
      <c r="D315" s="139"/>
      <c r="E315" s="18"/>
      <c r="F315" s="28"/>
      <c r="G315" s="118"/>
      <c r="H315" s="35"/>
      <c r="I315" s="127"/>
      <c r="J315" s="122"/>
      <c r="K315" s="19"/>
      <c r="L315" s="19"/>
      <c r="M315" s="16"/>
    </row>
    <row r="316" spans="1:13" s="20" customFormat="1" ht="24.75" customHeight="1">
      <c r="A316" s="41"/>
      <c r="B316" s="17"/>
      <c r="C316" s="51"/>
      <c r="D316" s="139"/>
      <c r="E316" s="18"/>
      <c r="F316" s="28"/>
      <c r="G316" s="118"/>
      <c r="H316" s="35"/>
      <c r="I316" s="127"/>
      <c r="J316" s="122"/>
      <c r="K316" s="19"/>
      <c r="L316" s="19"/>
      <c r="M316" s="16"/>
    </row>
    <row r="317" spans="1:13" s="20" customFormat="1" ht="24.75" customHeight="1">
      <c r="A317" s="41"/>
      <c r="B317" s="17"/>
      <c r="C317" s="51"/>
      <c r="D317" s="139"/>
      <c r="E317" s="18"/>
      <c r="F317" s="28"/>
      <c r="G317" s="118"/>
      <c r="H317" s="35"/>
      <c r="I317" s="127"/>
      <c r="J317" s="122"/>
      <c r="K317" s="19"/>
      <c r="L317" s="19"/>
      <c r="M317" s="16"/>
    </row>
    <row r="318" spans="1:13" s="20" customFormat="1" ht="24.75" customHeight="1">
      <c r="A318" s="41"/>
      <c r="B318" s="17"/>
      <c r="C318" s="51"/>
      <c r="D318" s="139"/>
      <c r="E318" s="18"/>
      <c r="F318" s="28"/>
      <c r="G318" s="118"/>
      <c r="H318" s="35"/>
      <c r="I318" s="127"/>
      <c r="J318" s="122"/>
      <c r="K318" s="19"/>
      <c r="L318" s="19"/>
      <c r="M318" s="16"/>
    </row>
    <row r="319" spans="1:13" s="20" customFormat="1" ht="24.75" customHeight="1">
      <c r="A319" s="41"/>
      <c r="B319" s="17"/>
      <c r="C319" s="51"/>
      <c r="D319" s="139"/>
      <c r="E319" s="18"/>
      <c r="F319" s="28"/>
      <c r="G319" s="118"/>
      <c r="H319" s="35"/>
      <c r="I319" s="127"/>
      <c r="J319" s="122"/>
      <c r="K319" s="19"/>
      <c r="L319" s="19"/>
      <c r="M319" s="16"/>
    </row>
    <row r="320" spans="1:13" s="20" customFormat="1" ht="24.75" customHeight="1">
      <c r="A320" s="41"/>
      <c r="B320" s="17"/>
      <c r="C320" s="51"/>
      <c r="D320" s="139"/>
      <c r="E320" s="18"/>
      <c r="F320" s="28"/>
      <c r="G320" s="118"/>
      <c r="H320" s="35"/>
      <c r="I320" s="127"/>
      <c r="J320" s="122"/>
      <c r="K320" s="19"/>
      <c r="L320" s="19"/>
      <c r="M320" s="16"/>
    </row>
    <row r="321" spans="1:13" s="20" customFormat="1" ht="24.75" customHeight="1">
      <c r="A321" s="41"/>
      <c r="B321" s="17"/>
      <c r="C321" s="51"/>
      <c r="D321" s="139"/>
      <c r="E321" s="18"/>
      <c r="F321" s="28"/>
      <c r="G321" s="118"/>
      <c r="H321" s="35"/>
      <c r="I321" s="127"/>
      <c r="J321" s="122"/>
      <c r="K321" s="19"/>
      <c r="L321" s="19"/>
      <c r="M321" s="16"/>
    </row>
    <row r="322" spans="1:13" s="20" customFormat="1" ht="24.75" customHeight="1">
      <c r="A322" s="41"/>
      <c r="B322" s="17"/>
      <c r="C322" s="51"/>
      <c r="D322" s="139"/>
      <c r="E322" s="18"/>
      <c r="F322" s="28"/>
      <c r="G322" s="118"/>
      <c r="H322" s="35"/>
      <c r="I322" s="127"/>
      <c r="J322" s="122"/>
      <c r="K322" s="19"/>
      <c r="L322" s="19"/>
      <c r="M322" s="16"/>
    </row>
    <row r="323" spans="1:13" s="20" customFormat="1" ht="24.75" customHeight="1">
      <c r="A323" s="41"/>
      <c r="B323" s="17"/>
      <c r="C323" s="51"/>
      <c r="D323" s="139"/>
      <c r="E323" s="18"/>
      <c r="F323" s="28"/>
      <c r="G323" s="118"/>
      <c r="H323" s="35"/>
      <c r="I323" s="127"/>
      <c r="J323" s="122"/>
      <c r="K323" s="19"/>
      <c r="L323" s="19"/>
      <c r="M323" s="16"/>
    </row>
    <row r="324" spans="1:13" s="20" customFormat="1" ht="24.75" customHeight="1">
      <c r="A324" s="41"/>
      <c r="B324" s="17"/>
      <c r="C324" s="51"/>
      <c r="D324" s="139"/>
      <c r="E324" s="18"/>
      <c r="F324" s="28"/>
      <c r="G324" s="118"/>
      <c r="H324" s="35"/>
      <c r="I324" s="127"/>
      <c r="J324" s="122"/>
      <c r="K324" s="19"/>
      <c r="L324" s="19"/>
      <c r="M324" s="16"/>
    </row>
    <row r="325" spans="1:13" s="20" customFormat="1" ht="24.75" customHeight="1">
      <c r="A325" s="41"/>
      <c r="B325" s="17"/>
      <c r="C325" s="51"/>
      <c r="D325" s="139"/>
      <c r="E325" s="18"/>
      <c r="F325" s="28"/>
      <c r="G325" s="118"/>
      <c r="H325" s="35"/>
      <c r="I325" s="127"/>
      <c r="J325" s="122"/>
      <c r="K325" s="19"/>
      <c r="L325" s="19"/>
      <c r="M325" s="16"/>
    </row>
    <row r="326" spans="1:13" s="20" customFormat="1" ht="24.75" customHeight="1">
      <c r="A326" s="41"/>
      <c r="B326" s="17"/>
      <c r="C326" s="51"/>
      <c r="D326" s="139"/>
      <c r="E326" s="18"/>
      <c r="F326" s="28"/>
      <c r="G326" s="118"/>
      <c r="H326" s="35"/>
      <c r="I326" s="127"/>
      <c r="J326" s="122"/>
      <c r="K326" s="19"/>
      <c r="L326" s="19"/>
      <c r="M326" s="16"/>
    </row>
    <row r="327" spans="1:13" s="20" customFormat="1" ht="24.75" customHeight="1">
      <c r="A327" s="41"/>
      <c r="B327" s="17"/>
      <c r="C327" s="51"/>
      <c r="D327" s="139"/>
      <c r="E327" s="18"/>
      <c r="F327" s="28"/>
      <c r="G327" s="118"/>
      <c r="H327" s="35"/>
      <c r="I327" s="127"/>
      <c r="J327" s="122"/>
      <c r="K327" s="19"/>
      <c r="L327" s="19"/>
      <c r="M327" s="16"/>
    </row>
    <row r="328" spans="1:13" s="20" customFormat="1" ht="24.75" customHeight="1">
      <c r="A328" s="41"/>
      <c r="B328" s="17"/>
      <c r="C328" s="51"/>
      <c r="D328" s="139"/>
      <c r="E328" s="18"/>
      <c r="F328" s="28"/>
      <c r="G328" s="118"/>
      <c r="H328" s="35"/>
      <c r="I328" s="127"/>
      <c r="J328" s="122"/>
      <c r="K328" s="19"/>
      <c r="L328" s="19"/>
      <c r="M328" s="16"/>
    </row>
    <row r="329" spans="1:13" s="20" customFormat="1" ht="24.75" customHeight="1">
      <c r="A329" s="41"/>
      <c r="B329" s="17"/>
      <c r="C329" s="51"/>
      <c r="D329" s="139"/>
      <c r="E329" s="18"/>
      <c r="F329" s="28"/>
      <c r="G329" s="118"/>
      <c r="H329" s="35"/>
      <c r="I329" s="127"/>
      <c r="J329" s="122"/>
      <c r="K329" s="19"/>
      <c r="L329" s="19"/>
      <c r="M329" s="16"/>
    </row>
    <row r="330" spans="1:13" s="20" customFormat="1" ht="24.75" customHeight="1">
      <c r="A330" s="41"/>
      <c r="B330" s="17"/>
      <c r="C330" s="51"/>
      <c r="D330" s="139"/>
      <c r="E330" s="18"/>
      <c r="F330" s="28"/>
      <c r="G330" s="118"/>
      <c r="H330" s="35"/>
      <c r="I330" s="127"/>
      <c r="J330" s="122"/>
      <c r="K330" s="19"/>
      <c r="L330" s="19"/>
      <c r="M330" s="16"/>
    </row>
    <row r="331" spans="1:13" s="20" customFormat="1" ht="24.75" customHeight="1">
      <c r="A331" s="41"/>
      <c r="B331" s="17"/>
      <c r="C331" s="51"/>
      <c r="D331" s="139"/>
      <c r="E331" s="18"/>
      <c r="F331" s="28"/>
      <c r="G331" s="118"/>
      <c r="H331" s="35"/>
      <c r="I331" s="127"/>
      <c r="J331" s="122"/>
      <c r="K331" s="19"/>
      <c r="L331" s="19"/>
      <c r="M331" s="16"/>
    </row>
    <row r="332" spans="1:13" s="20" customFormat="1" ht="24.75" customHeight="1">
      <c r="A332" s="41"/>
      <c r="B332" s="17"/>
      <c r="C332" s="51"/>
      <c r="D332" s="139"/>
      <c r="E332" s="18"/>
      <c r="F332" s="28"/>
      <c r="G332" s="118"/>
      <c r="H332" s="35"/>
      <c r="I332" s="127"/>
      <c r="J332" s="122"/>
      <c r="K332" s="19"/>
      <c r="L332" s="19"/>
      <c r="M332" s="16"/>
    </row>
    <row r="333" spans="1:13" s="20" customFormat="1" ht="24.75" customHeight="1">
      <c r="A333" s="41"/>
      <c r="B333" s="17"/>
      <c r="C333" s="51"/>
      <c r="D333" s="139"/>
      <c r="E333" s="18"/>
      <c r="F333" s="28"/>
      <c r="G333" s="118"/>
      <c r="H333" s="35"/>
      <c r="I333" s="127"/>
      <c r="J333" s="122"/>
      <c r="K333" s="19"/>
      <c r="L333" s="19"/>
      <c r="M333" s="16"/>
    </row>
    <row r="334" spans="1:13" s="20" customFormat="1" ht="24.75" customHeight="1">
      <c r="A334" s="41"/>
      <c r="B334" s="17"/>
      <c r="C334" s="51"/>
      <c r="D334" s="139"/>
      <c r="E334" s="18"/>
      <c r="F334" s="28"/>
      <c r="G334" s="118"/>
      <c r="H334" s="35"/>
      <c r="I334" s="127"/>
      <c r="J334" s="122"/>
      <c r="K334" s="19"/>
      <c r="L334" s="19"/>
      <c r="M334" s="16"/>
    </row>
    <row r="335" spans="1:13" s="20" customFormat="1" ht="24.75" customHeight="1">
      <c r="A335" s="41"/>
      <c r="B335" s="17"/>
      <c r="C335" s="51"/>
      <c r="D335" s="139"/>
      <c r="E335" s="18"/>
      <c r="F335" s="28"/>
      <c r="G335" s="118"/>
      <c r="H335" s="35"/>
      <c r="I335" s="127"/>
      <c r="J335" s="122"/>
      <c r="K335" s="19"/>
      <c r="L335" s="19"/>
      <c r="M335" s="16"/>
    </row>
    <row r="336" spans="1:13" s="20" customFormat="1" ht="24.75" customHeight="1">
      <c r="A336" s="41"/>
      <c r="B336" s="17"/>
      <c r="C336" s="51"/>
      <c r="D336" s="139"/>
      <c r="E336" s="18"/>
      <c r="F336" s="28"/>
      <c r="G336" s="118"/>
      <c r="H336" s="35"/>
      <c r="I336" s="127"/>
      <c r="J336" s="122"/>
      <c r="K336" s="19"/>
      <c r="L336" s="19"/>
      <c r="M336" s="16"/>
    </row>
    <row r="337" spans="1:13" s="20" customFormat="1" ht="24.75" customHeight="1">
      <c r="A337" s="41"/>
      <c r="B337" s="17"/>
      <c r="C337" s="51"/>
      <c r="D337" s="139"/>
      <c r="E337" s="18"/>
      <c r="F337" s="28"/>
      <c r="G337" s="118"/>
      <c r="H337" s="35"/>
      <c r="I337" s="127"/>
      <c r="J337" s="122"/>
      <c r="K337" s="19"/>
      <c r="L337" s="19"/>
      <c r="M337" s="16"/>
    </row>
    <row r="338" spans="1:13" s="20" customFormat="1" ht="24.75" customHeight="1">
      <c r="A338" s="41"/>
      <c r="B338" s="17"/>
      <c r="C338" s="51"/>
      <c r="D338" s="139"/>
      <c r="E338" s="18"/>
      <c r="F338" s="28"/>
      <c r="G338" s="118"/>
      <c r="H338" s="35"/>
      <c r="I338" s="127"/>
      <c r="J338" s="122"/>
      <c r="K338" s="19"/>
      <c r="L338" s="19"/>
      <c r="M338" s="16"/>
    </row>
    <row r="339" spans="1:13" s="20" customFormat="1" ht="24.75" customHeight="1">
      <c r="A339" s="41"/>
      <c r="B339" s="17"/>
      <c r="C339" s="51"/>
      <c r="D339" s="139"/>
      <c r="E339" s="18"/>
      <c r="F339" s="28"/>
      <c r="G339" s="118"/>
      <c r="H339" s="35"/>
      <c r="I339" s="127"/>
      <c r="J339" s="122"/>
      <c r="K339" s="19"/>
      <c r="L339" s="19"/>
      <c r="M339" s="16"/>
    </row>
    <row r="340" spans="1:13" s="20" customFormat="1" ht="24.75" customHeight="1">
      <c r="A340" s="41"/>
      <c r="B340" s="17"/>
      <c r="C340" s="51"/>
      <c r="D340" s="139"/>
      <c r="E340" s="18"/>
      <c r="F340" s="28"/>
      <c r="G340" s="118"/>
      <c r="H340" s="35"/>
      <c r="I340" s="127"/>
      <c r="J340" s="122"/>
      <c r="K340" s="19"/>
      <c r="L340" s="19"/>
      <c r="M340" s="16"/>
    </row>
    <row r="341" spans="1:13" s="20" customFormat="1" ht="24.75" customHeight="1">
      <c r="A341" s="41"/>
      <c r="B341" s="17"/>
      <c r="C341" s="51"/>
      <c r="D341" s="139"/>
      <c r="E341" s="18"/>
      <c r="F341" s="28"/>
      <c r="G341" s="118"/>
      <c r="H341" s="35"/>
      <c r="I341" s="127"/>
      <c r="J341" s="122"/>
      <c r="K341" s="19"/>
      <c r="L341" s="19"/>
      <c r="M341" s="16"/>
    </row>
    <row r="342" spans="1:13" s="20" customFormat="1" ht="24.75" customHeight="1">
      <c r="A342" s="41"/>
      <c r="B342" s="17"/>
      <c r="C342" s="51"/>
      <c r="D342" s="139"/>
      <c r="E342" s="18"/>
      <c r="F342" s="28"/>
      <c r="G342" s="118"/>
      <c r="H342" s="35"/>
      <c r="I342" s="127"/>
      <c r="J342" s="122"/>
      <c r="K342" s="19"/>
      <c r="L342" s="19"/>
      <c r="M342" s="16"/>
    </row>
    <row r="343" spans="1:13" s="20" customFormat="1" ht="24.75" customHeight="1">
      <c r="A343" s="41"/>
      <c r="B343" s="17"/>
      <c r="C343" s="51"/>
      <c r="D343" s="139"/>
      <c r="E343" s="18"/>
      <c r="F343" s="28"/>
      <c r="G343" s="118"/>
      <c r="H343" s="35"/>
      <c r="I343" s="127"/>
      <c r="J343" s="122"/>
      <c r="K343" s="19"/>
      <c r="L343" s="19"/>
      <c r="M343" s="16"/>
    </row>
    <row r="344" spans="1:13" s="20" customFormat="1" ht="24.75" customHeight="1">
      <c r="A344" s="41"/>
      <c r="B344" s="17"/>
      <c r="C344" s="51"/>
      <c r="D344" s="139"/>
      <c r="E344" s="18"/>
      <c r="F344" s="28"/>
      <c r="G344" s="118"/>
      <c r="H344" s="35"/>
      <c r="I344" s="127"/>
      <c r="J344" s="122"/>
      <c r="K344" s="19"/>
      <c r="L344" s="19"/>
      <c r="M344" s="16"/>
    </row>
    <row r="345" spans="1:13" s="20" customFormat="1" ht="24.75" customHeight="1">
      <c r="A345" s="41"/>
      <c r="B345" s="17"/>
      <c r="C345" s="51"/>
      <c r="D345" s="139"/>
      <c r="E345" s="18"/>
      <c r="F345" s="28"/>
      <c r="G345" s="118"/>
      <c r="H345" s="35"/>
      <c r="I345" s="127"/>
      <c r="J345" s="122"/>
      <c r="K345" s="19"/>
      <c r="L345" s="19"/>
      <c r="M345" s="16"/>
    </row>
    <row r="346" spans="1:13" s="20" customFormat="1" ht="24.75" customHeight="1">
      <c r="A346" s="41"/>
      <c r="B346" s="17"/>
      <c r="C346" s="51"/>
      <c r="D346" s="139"/>
      <c r="E346" s="18"/>
      <c r="F346" s="28"/>
      <c r="G346" s="118"/>
      <c r="H346" s="35"/>
      <c r="I346" s="127"/>
      <c r="J346" s="122"/>
      <c r="K346" s="19"/>
      <c r="L346" s="19"/>
      <c r="M346" s="16"/>
    </row>
    <row r="347" spans="1:13" s="20" customFormat="1" ht="24.75" customHeight="1">
      <c r="A347" s="41"/>
      <c r="B347" s="17"/>
      <c r="C347" s="51"/>
      <c r="D347" s="139"/>
      <c r="E347" s="18"/>
      <c r="F347" s="28"/>
      <c r="G347" s="118"/>
      <c r="H347" s="35"/>
      <c r="I347" s="127"/>
      <c r="J347" s="122"/>
      <c r="K347" s="19"/>
      <c r="L347" s="19"/>
      <c r="M347" s="16"/>
    </row>
    <row r="348" spans="1:13" s="20" customFormat="1" ht="24.75" customHeight="1">
      <c r="A348" s="41"/>
      <c r="B348" s="17"/>
      <c r="C348" s="51"/>
      <c r="D348" s="139"/>
      <c r="E348" s="18"/>
      <c r="F348" s="28"/>
      <c r="G348" s="118"/>
      <c r="H348" s="35"/>
      <c r="I348" s="127"/>
      <c r="J348" s="122"/>
      <c r="K348" s="19"/>
      <c r="L348" s="19"/>
      <c r="M348" s="16"/>
    </row>
    <row r="349" spans="1:13" s="20" customFormat="1" ht="24.75" customHeight="1">
      <c r="A349" s="41"/>
      <c r="B349" s="17"/>
      <c r="C349" s="51"/>
      <c r="D349" s="139"/>
      <c r="E349" s="18"/>
      <c r="F349" s="28"/>
      <c r="G349" s="118"/>
      <c r="H349" s="35"/>
      <c r="I349" s="127"/>
      <c r="J349" s="122"/>
      <c r="K349" s="19"/>
      <c r="L349" s="19"/>
      <c r="M349" s="16"/>
    </row>
    <row r="350" spans="1:13" s="20" customFormat="1" ht="24.75" customHeight="1">
      <c r="A350" s="41"/>
      <c r="B350" s="17"/>
      <c r="C350" s="51"/>
      <c r="D350" s="139"/>
      <c r="E350" s="18"/>
      <c r="F350" s="28"/>
      <c r="G350" s="118"/>
      <c r="H350" s="35"/>
      <c r="I350" s="127"/>
      <c r="J350" s="122"/>
      <c r="K350" s="19"/>
      <c r="L350" s="19"/>
      <c r="M350" s="16"/>
    </row>
    <row r="351" spans="1:13" s="20" customFormat="1" ht="24.75" customHeight="1">
      <c r="A351" s="41"/>
      <c r="B351" s="17"/>
      <c r="C351" s="51"/>
      <c r="D351" s="139"/>
      <c r="E351" s="18"/>
      <c r="F351" s="28"/>
      <c r="G351" s="118"/>
      <c r="H351" s="35"/>
      <c r="I351" s="127"/>
      <c r="J351" s="122"/>
      <c r="K351" s="19"/>
      <c r="L351" s="19"/>
      <c r="M351" s="16"/>
    </row>
    <row r="352" spans="1:13" s="20" customFormat="1" ht="24.75" customHeight="1">
      <c r="A352" s="41"/>
      <c r="B352" s="17"/>
      <c r="C352" s="51"/>
      <c r="D352" s="139"/>
      <c r="E352" s="18"/>
      <c r="F352" s="28"/>
      <c r="G352" s="118"/>
      <c r="H352" s="35"/>
      <c r="I352" s="127"/>
      <c r="J352" s="122"/>
      <c r="K352" s="19"/>
      <c r="L352" s="19"/>
      <c r="M352" s="16"/>
    </row>
    <row r="353" spans="1:13" s="20" customFormat="1" ht="24.75" customHeight="1">
      <c r="A353" s="41"/>
      <c r="B353" s="17"/>
      <c r="C353" s="51"/>
      <c r="D353" s="139"/>
      <c r="E353" s="18"/>
      <c r="F353" s="28"/>
      <c r="G353" s="118"/>
      <c r="H353" s="35"/>
      <c r="I353" s="127"/>
      <c r="J353" s="122"/>
      <c r="K353" s="19"/>
      <c r="L353" s="19"/>
      <c r="M353" s="16"/>
    </row>
    <row r="354" spans="1:13" s="20" customFormat="1" ht="24.75" customHeight="1">
      <c r="A354" s="41"/>
      <c r="B354" s="17"/>
      <c r="C354" s="51"/>
      <c r="D354" s="139"/>
      <c r="E354" s="18"/>
      <c r="F354" s="28"/>
      <c r="G354" s="118"/>
      <c r="H354" s="35"/>
      <c r="I354" s="127"/>
      <c r="J354" s="122"/>
      <c r="K354" s="19"/>
      <c r="L354" s="19"/>
      <c r="M354" s="16"/>
    </row>
    <row r="355" spans="1:13" s="20" customFormat="1" ht="24.75" customHeight="1">
      <c r="A355" s="41"/>
      <c r="B355" s="17"/>
      <c r="C355" s="51"/>
      <c r="D355" s="139"/>
      <c r="E355" s="18"/>
      <c r="F355" s="28"/>
      <c r="G355" s="118"/>
      <c r="H355" s="35"/>
      <c r="I355" s="127"/>
      <c r="J355" s="122"/>
      <c r="K355" s="19"/>
      <c r="L355" s="19"/>
      <c r="M355" s="16"/>
    </row>
    <row r="356" spans="1:13" s="20" customFormat="1" ht="24.75" customHeight="1">
      <c r="A356" s="41"/>
      <c r="B356" s="17"/>
      <c r="C356" s="51"/>
      <c r="D356" s="139"/>
      <c r="E356" s="18"/>
      <c r="F356" s="28"/>
      <c r="G356" s="118"/>
      <c r="H356" s="35"/>
      <c r="I356" s="127"/>
      <c r="J356" s="122"/>
      <c r="K356" s="19"/>
      <c r="L356" s="19"/>
      <c r="M356" s="16"/>
    </row>
    <row r="357" spans="1:13" s="20" customFormat="1" ht="24.75" customHeight="1">
      <c r="A357" s="41"/>
      <c r="B357" s="17"/>
      <c r="C357" s="51"/>
      <c r="D357" s="139"/>
      <c r="E357" s="18"/>
      <c r="F357" s="28"/>
      <c r="G357" s="118"/>
      <c r="H357" s="35"/>
      <c r="I357" s="127"/>
      <c r="J357" s="122"/>
      <c r="K357" s="19"/>
      <c r="L357" s="19"/>
      <c r="M357" s="16"/>
    </row>
    <row r="358" spans="1:13" s="20" customFormat="1" ht="24.75" customHeight="1">
      <c r="A358" s="41"/>
      <c r="B358" s="17"/>
      <c r="C358" s="51"/>
      <c r="D358" s="139"/>
      <c r="E358" s="18"/>
      <c r="F358" s="28"/>
      <c r="G358" s="118"/>
      <c r="H358" s="35"/>
      <c r="I358" s="127"/>
      <c r="J358" s="122"/>
      <c r="K358" s="19"/>
      <c r="L358" s="19"/>
      <c r="M358" s="16"/>
    </row>
    <row r="359" spans="1:13" s="20" customFormat="1" ht="24.75" customHeight="1">
      <c r="A359" s="41"/>
      <c r="B359" s="17"/>
      <c r="C359" s="51"/>
      <c r="D359" s="139"/>
      <c r="E359" s="18"/>
      <c r="F359" s="28"/>
      <c r="G359" s="118"/>
      <c r="H359" s="35"/>
      <c r="I359" s="127"/>
      <c r="J359" s="122"/>
      <c r="K359" s="19"/>
      <c r="L359" s="19"/>
      <c r="M359" s="16"/>
    </row>
    <row r="360" spans="1:13" s="20" customFormat="1" ht="24.75" customHeight="1">
      <c r="A360" s="41"/>
      <c r="B360" s="17"/>
      <c r="C360" s="51"/>
      <c r="D360" s="139"/>
      <c r="E360" s="18"/>
      <c r="F360" s="28"/>
      <c r="G360" s="118"/>
      <c r="H360" s="35"/>
      <c r="I360" s="127"/>
      <c r="J360" s="122"/>
      <c r="K360" s="19"/>
      <c r="L360" s="19"/>
      <c r="M360" s="16"/>
    </row>
    <row r="361" spans="1:13" s="20" customFormat="1" ht="24.75" customHeight="1">
      <c r="A361" s="41"/>
      <c r="B361" s="17"/>
      <c r="C361" s="51"/>
      <c r="D361" s="139"/>
      <c r="E361" s="18"/>
      <c r="F361" s="28"/>
      <c r="G361" s="118"/>
      <c r="H361" s="35"/>
      <c r="I361" s="127"/>
      <c r="J361" s="122"/>
      <c r="K361" s="19"/>
      <c r="L361" s="19"/>
      <c r="M361" s="16"/>
    </row>
    <row r="362" spans="1:13" s="20" customFormat="1" ht="24.75" customHeight="1">
      <c r="A362" s="41"/>
      <c r="B362" s="17"/>
      <c r="C362" s="51"/>
      <c r="D362" s="139"/>
      <c r="E362" s="18"/>
      <c r="F362" s="28"/>
      <c r="G362" s="118"/>
      <c r="H362" s="35"/>
      <c r="I362" s="127"/>
      <c r="J362" s="122"/>
      <c r="K362" s="19"/>
      <c r="L362" s="19"/>
      <c r="M362" s="16"/>
    </row>
    <row r="363" spans="1:13" s="20" customFormat="1" ht="24.75" customHeight="1">
      <c r="A363" s="41"/>
      <c r="B363" s="17"/>
      <c r="C363" s="51"/>
      <c r="D363" s="139"/>
      <c r="E363" s="18"/>
      <c r="F363" s="28"/>
      <c r="G363" s="118"/>
      <c r="H363" s="35"/>
      <c r="I363" s="127"/>
      <c r="J363" s="122"/>
      <c r="K363" s="19"/>
      <c r="L363" s="19"/>
      <c r="M363" s="16"/>
    </row>
    <row r="364" spans="1:13" s="20" customFormat="1" ht="24.75" customHeight="1">
      <c r="A364" s="41"/>
      <c r="B364" s="17"/>
      <c r="C364" s="51"/>
      <c r="D364" s="139"/>
      <c r="E364" s="18"/>
      <c r="F364" s="28"/>
      <c r="G364" s="118"/>
      <c r="H364" s="35"/>
      <c r="I364" s="127"/>
      <c r="J364" s="122"/>
      <c r="K364" s="19"/>
      <c r="L364" s="19"/>
      <c r="M364" s="16"/>
    </row>
    <row r="365" spans="1:13" s="20" customFormat="1" ht="24.75" customHeight="1">
      <c r="A365" s="41"/>
      <c r="B365" s="17"/>
      <c r="C365" s="51"/>
      <c r="D365" s="139"/>
      <c r="E365" s="18"/>
      <c r="F365" s="28"/>
      <c r="G365" s="118"/>
      <c r="H365" s="35"/>
      <c r="I365" s="127"/>
      <c r="J365" s="122"/>
      <c r="K365" s="19"/>
      <c r="L365" s="19"/>
      <c r="M365" s="16"/>
    </row>
    <row r="366" spans="1:13" s="20" customFormat="1" ht="24.75" customHeight="1">
      <c r="A366" s="41"/>
      <c r="B366" s="17"/>
      <c r="C366" s="51"/>
      <c r="D366" s="139"/>
      <c r="E366" s="18"/>
      <c r="F366" s="28"/>
      <c r="G366" s="118"/>
      <c r="H366" s="35"/>
      <c r="I366" s="127"/>
      <c r="J366" s="122"/>
      <c r="K366" s="19"/>
      <c r="L366" s="19"/>
      <c r="M366" s="16"/>
    </row>
    <row r="367" spans="1:13" s="20" customFormat="1" ht="24.75" customHeight="1">
      <c r="A367" s="41"/>
      <c r="B367" s="17"/>
      <c r="C367" s="51"/>
      <c r="D367" s="139"/>
      <c r="E367" s="18"/>
      <c r="F367" s="28"/>
      <c r="G367" s="118"/>
      <c r="H367" s="35"/>
      <c r="I367" s="127"/>
      <c r="J367" s="122"/>
      <c r="K367" s="19"/>
      <c r="L367" s="19"/>
      <c r="M367" s="16"/>
    </row>
    <row r="368" spans="1:13" s="20" customFormat="1" ht="24.75" customHeight="1">
      <c r="A368" s="41"/>
      <c r="B368" s="17"/>
      <c r="C368" s="51"/>
      <c r="D368" s="139"/>
      <c r="E368" s="18"/>
      <c r="F368" s="28"/>
      <c r="G368" s="118"/>
      <c r="H368" s="35"/>
      <c r="I368" s="127"/>
      <c r="J368" s="122"/>
      <c r="K368" s="19"/>
      <c r="L368" s="19"/>
      <c r="M368" s="16"/>
    </row>
    <row r="369" spans="1:13" s="20" customFormat="1" ht="24.75" customHeight="1">
      <c r="A369" s="41"/>
      <c r="B369" s="17"/>
      <c r="C369" s="51"/>
      <c r="D369" s="139"/>
      <c r="E369" s="18"/>
      <c r="F369" s="28"/>
      <c r="G369" s="118"/>
      <c r="H369" s="35"/>
      <c r="I369" s="127"/>
      <c r="J369" s="122"/>
      <c r="K369" s="19"/>
      <c r="L369" s="19"/>
      <c r="M369" s="16"/>
    </row>
    <row r="370" spans="1:13" s="20" customFormat="1" ht="24.75" customHeight="1">
      <c r="A370" s="41"/>
      <c r="B370" s="17"/>
      <c r="C370" s="51"/>
      <c r="D370" s="139"/>
      <c r="E370" s="18"/>
      <c r="F370" s="28"/>
      <c r="G370" s="118"/>
      <c r="H370" s="35"/>
      <c r="I370" s="127"/>
      <c r="J370" s="122"/>
      <c r="K370" s="19"/>
      <c r="L370" s="19"/>
      <c r="M370" s="16"/>
    </row>
    <row r="371" spans="1:13" s="20" customFormat="1" ht="24.75" customHeight="1">
      <c r="A371" s="41"/>
      <c r="B371" s="17"/>
      <c r="C371" s="51"/>
      <c r="D371" s="139"/>
      <c r="E371" s="18"/>
      <c r="F371" s="28"/>
      <c r="G371" s="118"/>
      <c r="H371" s="35"/>
      <c r="I371" s="127"/>
      <c r="J371" s="122"/>
      <c r="K371" s="19"/>
      <c r="L371" s="19"/>
      <c r="M371" s="16"/>
    </row>
    <row r="372" spans="1:13" s="20" customFormat="1" ht="24.75" customHeight="1">
      <c r="A372" s="41"/>
      <c r="B372" s="17"/>
      <c r="C372" s="51"/>
      <c r="D372" s="139"/>
      <c r="E372" s="18"/>
      <c r="F372" s="28"/>
      <c r="G372" s="118"/>
      <c r="H372" s="35"/>
      <c r="I372" s="127"/>
      <c r="J372" s="122"/>
      <c r="K372" s="19"/>
      <c r="L372" s="19"/>
      <c r="M372" s="16"/>
    </row>
    <row r="373" spans="1:13" s="20" customFormat="1" ht="24.75" customHeight="1">
      <c r="A373" s="41"/>
      <c r="B373" s="17"/>
      <c r="C373" s="51"/>
      <c r="D373" s="139"/>
      <c r="E373" s="18"/>
      <c r="F373" s="28"/>
      <c r="G373" s="118"/>
      <c r="H373" s="35"/>
      <c r="I373" s="127"/>
      <c r="J373" s="122"/>
      <c r="K373" s="19"/>
      <c r="L373" s="19"/>
      <c r="M373" s="16"/>
    </row>
    <row r="374" spans="1:13" s="20" customFormat="1" ht="24.75" customHeight="1">
      <c r="A374" s="41"/>
      <c r="B374" s="17"/>
      <c r="C374" s="51"/>
      <c r="D374" s="139"/>
      <c r="E374" s="18"/>
      <c r="F374" s="28"/>
      <c r="G374" s="118"/>
      <c r="H374" s="35"/>
      <c r="I374" s="127"/>
      <c r="J374" s="122"/>
      <c r="K374" s="19"/>
      <c r="L374" s="19"/>
      <c r="M374" s="16"/>
    </row>
    <row r="375" spans="1:13" s="20" customFormat="1" ht="24.75" customHeight="1">
      <c r="A375" s="41"/>
      <c r="B375" s="17"/>
      <c r="C375" s="51"/>
      <c r="D375" s="139"/>
      <c r="E375" s="18"/>
      <c r="F375" s="28"/>
      <c r="G375" s="118"/>
      <c r="H375" s="35"/>
      <c r="I375" s="127"/>
      <c r="J375" s="122"/>
      <c r="K375" s="19"/>
      <c r="L375" s="19"/>
      <c r="M375" s="16"/>
    </row>
    <row r="376" spans="1:13" s="20" customFormat="1" ht="24.75" customHeight="1">
      <c r="A376" s="41"/>
      <c r="B376" s="17"/>
      <c r="C376" s="51"/>
      <c r="D376" s="139"/>
      <c r="E376" s="18"/>
      <c r="F376" s="28"/>
      <c r="G376" s="118"/>
      <c r="H376" s="35"/>
      <c r="I376" s="127"/>
      <c r="J376" s="122"/>
      <c r="K376" s="19"/>
      <c r="L376" s="19"/>
      <c r="M376" s="16"/>
    </row>
    <row r="377" spans="1:13" s="20" customFormat="1" ht="24.75" customHeight="1">
      <c r="A377" s="41"/>
      <c r="B377" s="17"/>
      <c r="C377" s="51"/>
      <c r="D377" s="139"/>
      <c r="E377" s="18"/>
      <c r="F377" s="28"/>
      <c r="G377" s="118"/>
      <c r="H377" s="35"/>
      <c r="I377" s="127"/>
      <c r="J377" s="122"/>
      <c r="K377" s="19"/>
      <c r="L377" s="19"/>
      <c r="M377" s="16"/>
    </row>
    <row r="378" spans="1:13" s="20" customFormat="1" ht="24.75" customHeight="1">
      <c r="A378" s="41"/>
      <c r="B378" s="17"/>
      <c r="C378" s="51"/>
      <c r="D378" s="139"/>
      <c r="E378" s="18"/>
      <c r="F378" s="28"/>
      <c r="G378" s="118"/>
      <c r="H378" s="35"/>
      <c r="I378" s="127"/>
      <c r="J378" s="122"/>
      <c r="K378" s="19"/>
      <c r="L378" s="19"/>
      <c r="M378" s="16"/>
    </row>
    <row r="379" spans="1:13" s="20" customFormat="1" ht="24.75" customHeight="1">
      <c r="A379" s="41"/>
      <c r="B379" s="17"/>
      <c r="C379" s="51"/>
      <c r="D379" s="139"/>
      <c r="E379" s="18"/>
      <c r="F379" s="28"/>
      <c r="G379" s="118"/>
      <c r="H379" s="35"/>
      <c r="I379" s="127"/>
      <c r="J379" s="122"/>
      <c r="K379" s="19"/>
      <c r="L379" s="19"/>
      <c r="M379" s="16"/>
    </row>
    <row r="380" spans="1:13" s="20" customFormat="1" ht="24.75" customHeight="1">
      <c r="A380" s="41"/>
      <c r="B380" s="17"/>
      <c r="C380" s="51"/>
      <c r="D380" s="139"/>
      <c r="E380" s="18"/>
      <c r="F380" s="28"/>
      <c r="G380" s="118"/>
      <c r="H380" s="35"/>
      <c r="I380" s="127"/>
      <c r="J380" s="122"/>
      <c r="K380" s="19"/>
      <c r="L380" s="19"/>
      <c r="M380" s="16"/>
    </row>
    <row r="381" spans="1:13" s="20" customFormat="1" ht="24.75" customHeight="1">
      <c r="A381" s="41"/>
      <c r="B381" s="17"/>
      <c r="C381" s="51"/>
      <c r="D381" s="139"/>
      <c r="E381" s="18"/>
      <c r="F381" s="28"/>
      <c r="G381" s="118"/>
      <c r="H381" s="35"/>
      <c r="I381" s="127"/>
      <c r="J381" s="122"/>
      <c r="K381" s="19"/>
      <c r="L381" s="19"/>
      <c r="M381" s="16"/>
    </row>
    <row r="382" spans="1:13" s="20" customFormat="1" ht="24.75" customHeight="1">
      <c r="A382" s="41"/>
      <c r="B382" s="17"/>
      <c r="C382" s="51"/>
      <c r="D382" s="139"/>
      <c r="E382" s="18"/>
      <c r="F382" s="28"/>
      <c r="G382" s="118"/>
      <c r="H382" s="35"/>
      <c r="I382" s="127"/>
      <c r="J382" s="122"/>
      <c r="K382" s="19"/>
      <c r="L382" s="19"/>
      <c r="M382" s="16"/>
    </row>
    <row r="383" spans="1:13" s="20" customFormat="1" ht="24.75" customHeight="1">
      <c r="A383" s="41"/>
      <c r="B383" s="17"/>
      <c r="C383" s="51"/>
      <c r="D383" s="139"/>
      <c r="E383" s="18"/>
      <c r="F383" s="28"/>
      <c r="G383" s="118"/>
      <c r="H383" s="35"/>
      <c r="I383" s="127"/>
      <c r="J383" s="122"/>
      <c r="K383" s="19"/>
      <c r="L383" s="19"/>
      <c r="M383" s="16"/>
    </row>
    <row r="384" spans="1:13" s="20" customFormat="1" ht="24.75" customHeight="1">
      <c r="A384" s="41"/>
      <c r="B384" s="17"/>
      <c r="C384" s="51"/>
      <c r="D384" s="139"/>
      <c r="E384" s="18"/>
      <c r="F384" s="28"/>
      <c r="G384" s="118"/>
      <c r="H384" s="35"/>
      <c r="I384" s="127"/>
      <c r="J384" s="122"/>
      <c r="K384" s="19"/>
      <c r="L384" s="19"/>
      <c r="M384" s="16"/>
    </row>
    <row r="385" spans="1:13" s="20" customFormat="1" ht="24.75" customHeight="1">
      <c r="A385" s="41"/>
      <c r="B385" s="17"/>
      <c r="C385" s="51"/>
      <c r="D385" s="139"/>
      <c r="E385" s="18"/>
      <c r="F385" s="28"/>
      <c r="G385" s="118"/>
      <c r="H385" s="35"/>
      <c r="I385" s="127"/>
      <c r="J385" s="122"/>
      <c r="K385" s="19"/>
      <c r="L385" s="19"/>
      <c r="M385" s="16"/>
    </row>
    <row r="386" spans="1:13" s="20" customFormat="1" ht="24.75" customHeight="1">
      <c r="A386" s="41"/>
      <c r="B386" s="17"/>
      <c r="C386" s="51"/>
      <c r="D386" s="139"/>
      <c r="E386" s="18"/>
      <c r="F386" s="28"/>
      <c r="G386" s="118"/>
      <c r="H386" s="35"/>
      <c r="I386" s="127"/>
      <c r="J386" s="122"/>
      <c r="K386" s="19"/>
      <c r="L386" s="19"/>
      <c r="M386" s="16"/>
    </row>
    <row r="387" spans="1:13" s="20" customFormat="1" ht="24.75" customHeight="1">
      <c r="A387" s="41"/>
      <c r="B387" s="17"/>
      <c r="C387" s="51"/>
      <c r="D387" s="139"/>
      <c r="E387" s="18"/>
      <c r="F387" s="28"/>
      <c r="G387" s="118"/>
      <c r="H387" s="35"/>
      <c r="I387" s="127"/>
      <c r="J387" s="122"/>
      <c r="K387" s="19"/>
      <c r="L387" s="19"/>
      <c r="M387" s="16"/>
    </row>
    <row r="388" spans="1:13" s="20" customFormat="1" ht="24.75" customHeight="1">
      <c r="A388" s="41"/>
      <c r="B388" s="17"/>
      <c r="C388" s="51"/>
      <c r="D388" s="139"/>
      <c r="E388" s="18"/>
      <c r="F388" s="28"/>
      <c r="G388" s="118"/>
      <c r="H388" s="35"/>
      <c r="I388" s="127"/>
      <c r="J388" s="122"/>
      <c r="K388" s="19"/>
      <c r="L388" s="19"/>
      <c r="M388" s="16"/>
    </row>
    <row r="389" spans="1:13" s="20" customFormat="1" ht="24.75" customHeight="1">
      <c r="A389" s="41"/>
      <c r="B389" s="17"/>
      <c r="C389" s="51"/>
      <c r="D389" s="139"/>
      <c r="E389" s="18"/>
      <c r="F389" s="28"/>
      <c r="G389" s="118"/>
      <c r="H389" s="35"/>
      <c r="I389" s="127"/>
      <c r="J389" s="122"/>
      <c r="K389" s="19"/>
      <c r="L389" s="19"/>
      <c r="M389" s="16"/>
    </row>
    <row r="390" spans="1:13" s="20" customFormat="1" ht="24.75" customHeight="1">
      <c r="A390" s="41"/>
      <c r="B390" s="17"/>
      <c r="C390" s="51"/>
      <c r="D390" s="139"/>
      <c r="E390" s="18"/>
      <c r="F390" s="28"/>
      <c r="G390" s="118"/>
      <c r="H390" s="35"/>
      <c r="I390" s="127"/>
      <c r="J390" s="122"/>
      <c r="K390" s="19"/>
      <c r="L390" s="19"/>
      <c r="M390" s="16"/>
    </row>
    <row r="391" spans="1:13" s="20" customFormat="1" ht="24.75" customHeight="1">
      <c r="A391" s="41"/>
      <c r="B391" s="17"/>
      <c r="C391" s="51"/>
      <c r="D391" s="139"/>
      <c r="E391" s="18"/>
      <c r="F391" s="28"/>
      <c r="G391" s="118"/>
      <c r="H391" s="35"/>
      <c r="I391" s="127"/>
      <c r="J391" s="122"/>
      <c r="K391" s="19"/>
      <c r="L391" s="19"/>
      <c r="M391" s="16"/>
    </row>
    <row r="392" spans="1:13" s="20" customFormat="1" ht="24.75" customHeight="1">
      <c r="A392" s="41"/>
      <c r="B392" s="17"/>
      <c r="C392" s="51"/>
      <c r="D392" s="139"/>
      <c r="E392" s="18"/>
      <c r="F392" s="28"/>
      <c r="G392" s="118"/>
      <c r="H392" s="35"/>
      <c r="I392" s="127"/>
      <c r="J392" s="122"/>
      <c r="K392" s="19"/>
      <c r="L392" s="19"/>
      <c r="M392" s="16"/>
    </row>
    <row r="393" spans="1:13" s="20" customFormat="1" ht="24.75" customHeight="1">
      <c r="A393" s="41"/>
      <c r="B393" s="17"/>
      <c r="C393" s="51"/>
      <c r="D393" s="139"/>
      <c r="E393" s="18"/>
      <c r="F393" s="28"/>
      <c r="G393" s="118"/>
      <c r="H393" s="35"/>
      <c r="I393" s="127"/>
      <c r="J393" s="122"/>
      <c r="K393" s="19"/>
      <c r="L393" s="19"/>
      <c r="M393" s="16"/>
    </row>
    <row r="394" spans="1:13" s="20" customFormat="1" ht="24.75" customHeight="1">
      <c r="A394" s="41"/>
      <c r="B394" s="17"/>
      <c r="C394" s="51"/>
      <c r="D394" s="139"/>
      <c r="E394" s="18"/>
      <c r="F394" s="28"/>
      <c r="G394" s="118"/>
      <c r="H394" s="35"/>
      <c r="I394" s="127"/>
      <c r="J394" s="122"/>
      <c r="K394" s="19"/>
      <c r="L394" s="19"/>
      <c r="M394" s="16"/>
    </row>
    <row r="395" spans="1:13" s="20" customFormat="1" ht="24.75" customHeight="1">
      <c r="A395" s="41"/>
      <c r="B395" s="17"/>
      <c r="C395" s="51"/>
      <c r="D395" s="139"/>
      <c r="E395" s="18"/>
      <c r="F395" s="28"/>
      <c r="G395" s="118"/>
      <c r="H395" s="35"/>
      <c r="I395" s="127"/>
      <c r="J395" s="122"/>
      <c r="K395" s="19"/>
      <c r="L395" s="19"/>
      <c r="M395" s="16"/>
    </row>
    <row r="396" spans="1:13" s="20" customFormat="1" ht="24.75" customHeight="1">
      <c r="A396" s="41"/>
      <c r="B396" s="17"/>
      <c r="C396" s="51"/>
      <c r="D396" s="139"/>
      <c r="E396" s="18"/>
      <c r="F396" s="28"/>
      <c r="G396" s="118"/>
      <c r="H396" s="35"/>
      <c r="I396" s="127"/>
      <c r="J396" s="122"/>
      <c r="K396" s="19"/>
      <c r="L396" s="19"/>
      <c r="M396" s="16"/>
    </row>
    <row r="397" spans="1:13" s="20" customFormat="1" ht="24.75" customHeight="1">
      <c r="A397" s="41"/>
      <c r="B397" s="17"/>
      <c r="C397" s="51"/>
      <c r="D397" s="139"/>
      <c r="E397" s="18"/>
      <c r="F397" s="28"/>
      <c r="G397" s="118"/>
      <c r="H397" s="35"/>
      <c r="I397" s="127"/>
      <c r="J397" s="122"/>
      <c r="K397" s="19"/>
      <c r="L397" s="19"/>
      <c r="M397" s="16"/>
    </row>
    <row r="398" spans="1:13" s="20" customFormat="1" ht="24.75" customHeight="1">
      <c r="A398" s="41"/>
      <c r="B398" s="17"/>
      <c r="C398" s="51"/>
      <c r="D398" s="139"/>
      <c r="E398" s="18"/>
      <c r="F398" s="28"/>
      <c r="G398" s="118"/>
      <c r="H398" s="35"/>
      <c r="I398" s="127"/>
      <c r="J398" s="122"/>
      <c r="K398" s="19"/>
      <c r="L398" s="19"/>
      <c r="M398" s="16"/>
    </row>
    <row r="399" spans="1:13" s="20" customFormat="1" ht="24.75" customHeight="1">
      <c r="A399" s="41"/>
      <c r="B399" s="17"/>
      <c r="C399" s="51"/>
      <c r="D399" s="139"/>
      <c r="E399" s="18"/>
      <c r="F399" s="28"/>
      <c r="G399" s="118"/>
      <c r="H399" s="35"/>
      <c r="I399" s="127"/>
      <c r="J399" s="122"/>
      <c r="K399" s="19"/>
      <c r="L399" s="19"/>
      <c r="M399" s="16"/>
    </row>
    <row r="400" spans="1:13" s="20" customFormat="1" ht="24.75" customHeight="1">
      <c r="A400" s="41"/>
      <c r="B400" s="17"/>
      <c r="C400" s="51"/>
      <c r="D400" s="139"/>
      <c r="E400" s="18"/>
      <c r="F400" s="28"/>
      <c r="G400" s="118"/>
      <c r="H400" s="35"/>
      <c r="I400" s="127"/>
      <c r="J400" s="122"/>
      <c r="K400" s="19"/>
      <c r="L400" s="19"/>
      <c r="M400" s="16"/>
    </row>
    <row r="401" spans="1:13" s="20" customFormat="1" ht="24.75" customHeight="1">
      <c r="A401" s="41"/>
      <c r="B401" s="17"/>
      <c r="C401" s="51"/>
      <c r="D401" s="139"/>
      <c r="E401" s="18"/>
      <c r="F401" s="28"/>
      <c r="G401" s="118"/>
      <c r="H401" s="35"/>
      <c r="I401" s="127"/>
      <c r="J401" s="122"/>
      <c r="K401" s="19"/>
      <c r="L401" s="19"/>
      <c r="M401" s="16"/>
    </row>
    <row r="402" spans="1:13" s="20" customFormat="1" ht="24.75" customHeight="1">
      <c r="A402" s="41"/>
      <c r="B402" s="17"/>
      <c r="C402" s="51"/>
      <c r="D402" s="139"/>
      <c r="E402" s="18"/>
      <c r="F402" s="28"/>
      <c r="G402" s="118"/>
      <c r="H402" s="35"/>
      <c r="I402" s="127"/>
      <c r="J402" s="122"/>
      <c r="K402" s="19"/>
      <c r="L402" s="19"/>
      <c r="M402" s="16"/>
    </row>
    <row r="403" spans="1:13" s="20" customFormat="1" ht="24.75" customHeight="1">
      <c r="A403" s="41"/>
      <c r="B403" s="17"/>
      <c r="C403" s="51"/>
      <c r="D403" s="139"/>
      <c r="E403" s="18"/>
      <c r="F403" s="28"/>
      <c r="G403" s="118"/>
      <c r="H403" s="35"/>
      <c r="I403" s="127"/>
      <c r="J403" s="122"/>
      <c r="K403" s="19"/>
      <c r="L403" s="19"/>
      <c r="M403" s="16"/>
    </row>
    <row r="404" spans="1:13" s="20" customFormat="1" ht="24.75" customHeight="1">
      <c r="A404" s="41"/>
      <c r="B404" s="17"/>
      <c r="C404" s="51"/>
      <c r="D404" s="139"/>
      <c r="E404" s="18"/>
      <c r="F404" s="28"/>
      <c r="G404" s="118"/>
      <c r="H404" s="35"/>
      <c r="I404" s="127"/>
      <c r="J404" s="122"/>
      <c r="K404" s="19"/>
      <c r="L404" s="19"/>
      <c r="M404" s="16"/>
    </row>
    <row r="405" spans="1:13" s="20" customFormat="1" ht="24.75" customHeight="1">
      <c r="A405" s="41"/>
      <c r="B405" s="17"/>
      <c r="C405" s="51"/>
      <c r="D405" s="139"/>
      <c r="E405" s="18"/>
      <c r="F405" s="28"/>
      <c r="G405" s="118"/>
      <c r="H405" s="35"/>
      <c r="I405" s="127"/>
      <c r="J405" s="122"/>
      <c r="K405" s="19"/>
      <c r="L405" s="19"/>
      <c r="M405" s="16"/>
    </row>
    <row r="406" spans="1:13" s="20" customFormat="1" ht="24.75" customHeight="1">
      <c r="A406" s="41"/>
      <c r="B406" s="17"/>
      <c r="C406" s="51"/>
      <c r="D406" s="139"/>
      <c r="E406" s="18"/>
      <c r="F406" s="28"/>
      <c r="G406" s="118"/>
      <c r="H406" s="35"/>
      <c r="I406" s="127"/>
      <c r="J406" s="122"/>
      <c r="K406" s="19"/>
      <c r="L406" s="19"/>
      <c r="M406" s="16"/>
    </row>
    <row r="407" spans="1:13" s="20" customFormat="1" ht="24.75" customHeight="1">
      <c r="A407" s="41"/>
      <c r="B407" s="17"/>
      <c r="C407" s="51"/>
      <c r="D407" s="139"/>
      <c r="E407" s="18"/>
      <c r="F407" s="28"/>
      <c r="G407" s="118"/>
      <c r="H407" s="35"/>
      <c r="I407" s="127"/>
      <c r="J407" s="122"/>
      <c r="K407" s="19"/>
      <c r="L407" s="19"/>
      <c r="M407" s="16"/>
    </row>
    <row r="408" spans="1:13" s="20" customFormat="1" ht="24.75" customHeight="1">
      <c r="A408" s="41"/>
      <c r="B408" s="17"/>
      <c r="C408" s="51"/>
      <c r="D408" s="139"/>
      <c r="E408" s="18"/>
      <c r="F408" s="28"/>
      <c r="G408" s="118"/>
      <c r="H408" s="35"/>
      <c r="I408" s="127"/>
      <c r="J408" s="122"/>
      <c r="K408" s="19"/>
      <c r="L408" s="19"/>
      <c r="M408" s="16"/>
    </row>
    <row r="409" spans="1:13" s="20" customFormat="1" ht="24.75" customHeight="1">
      <c r="A409" s="41"/>
      <c r="B409" s="17"/>
      <c r="C409" s="51"/>
      <c r="D409" s="139"/>
      <c r="E409" s="18"/>
      <c r="F409" s="28"/>
      <c r="G409" s="118"/>
      <c r="H409" s="35"/>
      <c r="I409" s="127"/>
      <c r="J409" s="122"/>
      <c r="K409" s="19"/>
      <c r="L409" s="19"/>
      <c r="M409" s="16"/>
    </row>
    <row r="410" spans="1:13" s="20" customFormat="1" ht="24.75" customHeight="1">
      <c r="A410" s="41"/>
      <c r="B410" s="17"/>
      <c r="C410" s="51"/>
      <c r="D410" s="139"/>
      <c r="E410" s="18"/>
      <c r="F410" s="28"/>
      <c r="G410" s="118"/>
      <c r="H410" s="35"/>
      <c r="I410" s="127"/>
      <c r="J410" s="122"/>
      <c r="K410" s="19"/>
      <c r="L410" s="19"/>
      <c r="M410" s="16"/>
    </row>
    <row r="411" spans="1:13" s="20" customFormat="1" ht="24.75" customHeight="1">
      <c r="A411" s="41"/>
      <c r="B411" s="17"/>
      <c r="C411" s="51"/>
      <c r="D411" s="139"/>
      <c r="E411" s="18"/>
      <c r="F411" s="28"/>
      <c r="G411" s="118"/>
      <c r="H411" s="35"/>
      <c r="I411" s="127"/>
      <c r="J411" s="122"/>
      <c r="K411" s="19"/>
      <c r="L411" s="19"/>
      <c r="M411" s="16"/>
    </row>
    <row r="412" spans="1:13" s="20" customFormat="1" ht="24.75" customHeight="1">
      <c r="A412" s="41"/>
      <c r="B412" s="17"/>
      <c r="C412" s="51"/>
      <c r="D412" s="139"/>
      <c r="E412" s="18"/>
      <c r="F412" s="28"/>
      <c r="G412" s="118"/>
      <c r="H412" s="35"/>
      <c r="I412" s="127"/>
      <c r="J412" s="122"/>
      <c r="K412" s="19"/>
      <c r="L412" s="19"/>
      <c r="M412" s="16"/>
    </row>
    <row r="413" spans="1:13" s="20" customFormat="1" ht="24.75" customHeight="1">
      <c r="A413" s="41"/>
      <c r="B413" s="17"/>
      <c r="C413" s="51"/>
      <c r="D413" s="139"/>
      <c r="E413" s="18"/>
      <c r="F413" s="28"/>
      <c r="G413" s="118"/>
      <c r="H413" s="35"/>
      <c r="I413" s="127"/>
      <c r="J413" s="122"/>
      <c r="K413" s="19"/>
      <c r="L413" s="19"/>
      <c r="M413" s="16"/>
    </row>
    <row r="414" spans="1:13" s="20" customFormat="1" ht="24.75" customHeight="1">
      <c r="A414" s="41"/>
      <c r="B414" s="17"/>
      <c r="C414" s="51"/>
      <c r="D414" s="139"/>
      <c r="E414" s="18"/>
      <c r="F414" s="28"/>
      <c r="G414" s="118"/>
      <c r="H414" s="35"/>
      <c r="I414" s="127"/>
      <c r="J414" s="122"/>
      <c r="K414" s="19"/>
      <c r="L414" s="19"/>
      <c r="M414" s="16"/>
    </row>
    <row r="415" spans="1:13" s="20" customFormat="1" ht="24.75" customHeight="1">
      <c r="A415" s="41"/>
      <c r="B415" s="17"/>
      <c r="C415" s="51"/>
      <c r="D415" s="139"/>
      <c r="E415" s="18"/>
      <c r="F415" s="28"/>
      <c r="G415" s="118"/>
      <c r="H415" s="35"/>
      <c r="I415" s="127"/>
      <c r="J415" s="122"/>
      <c r="K415" s="19"/>
      <c r="L415" s="19"/>
      <c r="M415" s="16"/>
    </row>
    <row r="416" spans="1:13" s="20" customFormat="1" ht="24.75" customHeight="1">
      <c r="A416" s="41"/>
      <c r="B416" s="17"/>
      <c r="C416" s="51"/>
      <c r="D416" s="139"/>
      <c r="E416" s="18"/>
      <c r="F416" s="28"/>
      <c r="G416" s="118"/>
      <c r="H416" s="35"/>
      <c r="I416" s="127"/>
      <c r="J416" s="122"/>
      <c r="K416" s="19"/>
      <c r="L416" s="19"/>
      <c r="M416" s="16"/>
    </row>
    <row r="417" spans="1:13" s="20" customFormat="1" ht="24.75" customHeight="1">
      <c r="A417" s="41"/>
      <c r="B417" s="17"/>
      <c r="C417" s="51"/>
      <c r="D417" s="139"/>
      <c r="E417" s="18"/>
      <c r="F417" s="28"/>
      <c r="G417" s="118"/>
      <c r="H417" s="35"/>
      <c r="I417" s="127"/>
      <c r="J417" s="122"/>
      <c r="K417" s="19"/>
      <c r="L417" s="19"/>
      <c r="M417" s="16"/>
    </row>
    <row r="418" spans="1:13" s="20" customFormat="1" ht="24.75" customHeight="1">
      <c r="A418" s="41"/>
      <c r="B418" s="17"/>
      <c r="C418" s="51"/>
      <c r="D418" s="139"/>
      <c r="E418" s="18"/>
      <c r="F418" s="28"/>
      <c r="G418" s="118"/>
      <c r="H418" s="35"/>
      <c r="I418" s="127"/>
      <c r="J418" s="122"/>
      <c r="K418" s="19"/>
      <c r="L418" s="19"/>
      <c r="M418" s="16"/>
    </row>
    <row r="419" spans="1:13" s="20" customFormat="1" ht="24.75" customHeight="1">
      <c r="A419" s="41"/>
      <c r="B419" s="17"/>
      <c r="C419" s="51"/>
      <c r="D419" s="139"/>
      <c r="E419" s="18"/>
      <c r="F419" s="28"/>
      <c r="G419" s="118"/>
      <c r="H419" s="35"/>
      <c r="I419" s="127"/>
      <c r="J419" s="122"/>
      <c r="K419" s="19"/>
      <c r="L419" s="19"/>
      <c r="M419" s="16"/>
    </row>
    <row r="420" spans="1:13" s="20" customFormat="1" ht="24.75" customHeight="1">
      <c r="A420" s="41"/>
      <c r="B420" s="17"/>
      <c r="C420" s="51"/>
      <c r="D420" s="139"/>
      <c r="E420" s="18"/>
      <c r="F420" s="28"/>
      <c r="G420" s="118"/>
      <c r="H420" s="35"/>
      <c r="I420" s="127"/>
      <c r="J420" s="122"/>
      <c r="K420" s="19"/>
      <c r="L420" s="19"/>
      <c r="M420" s="16"/>
    </row>
    <row r="421" spans="1:13" s="20" customFormat="1" ht="24.75" customHeight="1">
      <c r="A421" s="41"/>
      <c r="B421" s="17"/>
      <c r="C421" s="51"/>
      <c r="D421" s="139"/>
      <c r="E421" s="18"/>
      <c r="F421" s="28"/>
      <c r="G421" s="118"/>
      <c r="H421" s="35"/>
      <c r="I421" s="127"/>
      <c r="J421" s="122"/>
      <c r="K421" s="19"/>
      <c r="L421" s="19"/>
      <c r="M421" s="16"/>
    </row>
    <row r="422" spans="1:13" s="20" customFormat="1" ht="24.75" customHeight="1">
      <c r="A422" s="41"/>
      <c r="B422" s="17"/>
      <c r="C422" s="51"/>
      <c r="D422" s="139"/>
      <c r="E422" s="18"/>
      <c r="F422" s="28"/>
      <c r="G422" s="118"/>
      <c r="H422" s="35"/>
      <c r="I422" s="127"/>
      <c r="J422" s="122"/>
      <c r="K422" s="19"/>
      <c r="L422" s="19"/>
      <c r="M422" s="16"/>
    </row>
    <row r="423" spans="1:13" s="20" customFormat="1" ht="24.75" customHeight="1">
      <c r="A423" s="41"/>
      <c r="B423" s="17"/>
      <c r="C423" s="51"/>
      <c r="D423" s="139"/>
      <c r="E423" s="18"/>
      <c r="F423" s="28"/>
      <c r="G423" s="118"/>
      <c r="H423" s="35"/>
      <c r="I423" s="127"/>
      <c r="J423" s="122"/>
      <c r="K423" s="19"/>
      <c r="L423" s="19"/>
      <c r="M423" s="16"/>
    </row>
    <row r="424" spans="1:13" s="20" customFormat="1" ht="24.75" customHeight="1">
      <c r="A424" s="41"/>
      <c r="B424" s="17"/>
      <c r="C424" s="51"/>
      <c r="D424" s="139"/>
      <c r="E424" s="18"/>
      <c r="F424" s="28"/>
      <c r="G424" s="118"/>
      <c r="H424" s="35"/>
      <c r="I424" s="127"/>
      <c r="J424" s="122"/>
      <c r="K424" s="19"/>
      <c r="L424" s="19"/>
      <c r="M424" s="16"/>
    </row>
    <row r="425" spans="1:13" s="20" customFormat="1" ht="24.75" customHeight="1">
      <c r="A425" s="41"/>
      <c r="B425" s="17"/>
      <c r="C425" s="51"/>
      <c r="D425" s="139"/>
      <c r="E425" s="18"/>
      <c r="F425" s="28"/>
      <c r="G425" s="118"/>
      <c r="H425" s="35"/>
      <c r="I425" s="127"/>
      <c r="J425" s="122"/>
      <c r="K425" s="19"/>
      <c r="L425" s="19"/>
      <c r="M425" s="16"/>
    </row>
    <row r="426" spans="1:13" s="20" customFormat="1" ht="24.75" customHeight="1">
      <c r="A426" s="41"/>
      <c r="B426" s="17"/>
      <c r="C426" s="51"/>
      <c r="D426" s="139"/>
      <c r="E426" s="18"/>
      <c r="F426" s="28"/>
      <c r="G426" s="118"/>
      <c r="H426" s="35"/>
      <c r="I426" s="127"/>
      <c r="J426" s="122"/>
      <c r="K426" s="19"/>
      <c r="L426" s="19"/>
      <c r="M426" s="16"/>
    </row>
    <row r="427" spans="1:13" s="20" customFormat="1" ht="24.75" customHeight="1">
      <c r="A427" s="41"/>
      <c r="B427" s="17"/>
      <c r="C427" s="51"/>
      <c r="D427" s="139"/>
      <c r="E427" s="18"/>
      <c r="F427" s="28"/>
      <c r="G427" s="118"/>
      <c r="H427" s="35"/>
      <c r="I427" s="127"/>
      <c r="J427" s="122"/>
      <c r="K427" s="19"/>
      <c r="L427" s="19"/>
      <c r="M427" s="16"/>
    </row>
    <row r="428" spans="1:13" s="20" customFormat="1" ht="24.75" customHeight="1">
      <c r="A428" s="41"/>
      <c r="B428" s="17"/>
      <c r="C428" s="51"/>
      <c r="D428" s="139"/>
      <c r="E428" s="18"/>
      <c r="F428" s="28"/>
      <c r="G428" s="118"/>
      <c r="H428" s="35"/>
      <c r="I428" s="127"/>
      <c r="J428" s="122"/>
      <c r="K428" s="19"/>
      <c r="L428" s="19"/>
      <c r="M428" s="16"/>
    </row>
    <row r="429" spans="1:13" s="20" customFormat="1" ht="24.75" customHeight="1">
      <c r="A429" s="41"/>
      <c r="B429" s="17"/>
      <c r="C429" s="51"/>
      <c r="D429" s="139"/>
      <c r="E429" s="18"/>
      <c r="F429" s="28"/>
      <c r="G429" s="118"/>
      <c r="H429" s="35"/>
      <c r="I429" s="127"/>
      <c r="J429" s="122"/>
      <c r="K429" s="19"/>
      <c r="L429" s="19"/>
      <c r="M429" s="16"/>
    </row>
    <row r="430" spans="1:13" s="20" customFormat="1" ht="24.75" customHeight="1">
      <c r="A430" s="41"/>
      <c r="B430" s="17"/>
      <c r="C430" s="51"/>
      <c r="D430" s="139"/>
      <c r="E430" s="18"/>
      <c r="F430" s="28"/>
      <c r="G430" s="118"/>
      <c r="H430" s="35"/>
      <c r="I430" s="127"/>
      <c r="J430" s="122"/>
      <c r="K430" s="19"/>
      <c r="L430" s="19"/>
      <c r="M430" s="16"/>
    </row>
    <row r="431" spans="1:13" s="20" customFormat="1" ht="24.75" customHeight="1">
      <c r="A431" s="41"/>
      <c r="B431" s="17"/>
      <c r="C431" s="51"/>
      <c r="D431" s="139"/>
      <c r="E431" s="18"/>
      <c r="F431" s="28"/>
      <c r="G431" s="118"/>
      <c r="H431" s="35"/>
      <c r="I431" s="127"/>
      <c r="J431" s="122"/>
      <c r="K431" s="19"/>
      <c r="L431" s="19"/>
      <c r="M431" s="16"/>
    </row>
    <row r="432" spans="1:13" s="20" customFormat="1" ht="24.75" customHeight="1">
      <c r="A432" s="41"/>
      <c r="B432" s="17"/>
      <c r="C432" s="51"/>
      <c r="D432" s="139"/>
      <c r="E432" s="18"/>
      <c r="F432" s="28"/>
      <c r="G432" s="118"/>
      <c r="H432" s="35"/>
      <c r="I432" s="127"/>
      <c r="J432" s="122"/>
      <c r="K432" s="19"/>
      <c r="L432" s="19"/>
      <c r="M432" s="16"/>
    </row>
    <row r="433" spans="1:13" s="20" customFormat="1" ht="24.75" customHeight="1">
      <c r="A433" s="41"/>
      <c r="B433" s="17"/>
      <c r="C433" s="51"/>
      <c r="D433" s="139"/>
      <c r="E433" s="18"/>
      <c r="F433" s="28"/>
      <c r="G433" s="118"/>
      <c r="H433" s="35"/>
      <c r="I433" s="127"/>
      <c r="J433" s="122"/>
      <c r="K433" s="19"/>
      <c r="L433" s="19"/>
      <c r="M433" s="16"/>
    </row>
    <row r="434" spans="1:13" s="20" customFormat="1" ht="24.75" customHeight="1">
      <c r="A434" s="41"/>
      <c r="B434" s="17"/>
      <c r="C434" s="51"/>
      <c r="D434" s="139"/>
      <c r="E434" s="18"/>
      <c r="F434" s="28"/>
      <c r="G434" s="118"/>
      <c r="H434" s="35"/>
      <c r="I434" s="127"/>
      <c r="J434" s="122"/>
      <c r="K434" s="19"/>
      <c r="L434" s="19"/>
      <c r="M434" s="16"/>
    </row>
    <row r="435" spans="1:13" s="20" customFormat="1" ht="24.75" customHeight="1">
      <c r="A435" s="41"/>
      <c r="B435" s="17"/>
      <c r="C435" s="51"/>
      <c r="D435" s="139"/>
      <c r="E435" s="18"/>
      <c r="F435" s="28"/>
      <c r="G435" s="118"/>
      <c r="H435" s="35"/>
      <c r="I435" s="127"/>
      <c r="J435" s="122"/>
      <c r="K435" s="19"/>
      <c r="L435" s="19"/>
      <c r="M435" s="16"/>
    </row>
    <row r="436" spans="1:13" s="20" customFormat="1" ht="24.75" customHeight="1">
      <c r="A436" s="41"/>
      <c r="B436" s="17"/>
      <c r="C436" s="51"/>
      <c r="D436" s="139"/>
      <c r="E436" s="18"/>
      <c r="F436" s="28"/>
      <c r="G436" s="118"/>
      <c r="H436" s="35"/>
      <c r="I436" s="127"/>
      <c r="J436" s="122"/>
      <c r="K436" s="19"/>
      <c r="L436" s="19"/>
      <c r="M436" s="16"/>
    </row>
    <row r="437" spans="1:13" s="20" customFormat="1" ht="24.75" customHeight="1">
      <c r="A437" s="41"/>
      <c r="B437" s="17"/>
      <c r="C437" s="51"/>
      <c r="D437" s="139"/>
      <c r="E437" s="18"/>
      <c r="F437" s="28"/>
      <c r="G437" s="118"/>
      <c r="H437" s="35"/>
      <c r="I437" s="127"/>
      <c r="J437" s="122"/>
      <c r="K437" s="19"/>
      <c r="L437" s="19"/>
      <c r="M437" s="16"/>
    </row>
    <row r="438" spans="1:13" s="20" customFormat="1" ht="24.75" customHeight="1">
      <c r="A438" s="41"/>
      <c r="B438" s="17"/>
      <c r="C438" s="51"/>
      <c r="D438" s="139"/>
      <c r="E438" s="18"/>
      <c r="F438" s="28"/>
      <c r="G438" s="118"/>
      <c r="H438" s="35"/>
      <c r="I438" s="127"/>
      <c r="J438" s="122"/>
      <c r="K438" s="19"/>
      <c r="L438" s="19"/>
      <c r="M438" s="16"/>
    </row>
    <row r="439" spans="1:13" s="20" customFormat="1" ht="24.75" customHeight="1">
      <c r="A439" s="41"/>
      <c r="B439" s="17"/>
      <c r="C439" s="51"/>
      <c r="D439" s="139"/>
      <c r="E439" s="18"/>
      <c r="F439" s="28"/>
      <c r="G439" s="118"/>
      <c r="H439" s="35"/>
      <c r="I439" s="127"/>
      <c r="J439" s="122"/>
      <c r="K439" s="19"/>
      <c r="L439" s="19"/>
      <c r="M439" s="16"/>
    </row>
    <row r="440" spans="1:13" s="20" customFormat="1" ht="24.75" customHeight="1">
      <c r="A440" s="41"/>
      <c r="B440" s="17"/>
      <c r="C440" s="51"/>
      <c r="D440" s="139"/>
      <c r="E440" s="18"/>
      <c r="F440" s="28"/>
      <c r="G440" s="118"/>
      <c r="H440" s="35"/>
      <c r="I440" s="127"/>
      <c r="J440" s="122"/>
      <c r="K440" s="19"/>
      <c r="L440" s="19"/>
      <c r="M440" s="16"/>
    </row>
    <row r="441" spans="1:13" s="20" customFormat="1" ht="24.75" customHeight="1">
      <c r="A441" s="41"/>
      <c r="B441" s="17"/>
      <c r="C441" s="51"/>
      <c r="D441" s="139"/>
      <c r="E441" s="18"/>
      <c r="F441" s="28"/>
      <c r="G441" s="118"/>
      <c r="H441" s="35"/>
      <c r="I441" s="127"/>
      <c r="J441" s="122"/>
      <c r="K441" s="19"/>
      <c r="L441" s="19"/>
      <c r="M441" s="16"/>
    </row>
    <row r="442" spans="1:13" s="20" customFormat="1" ht="24.75" customHeight="1">
      <c r="A442" s="41"/>
      <c r="B442" s="17"/>
      <c r="C442" s="51"/>
      <c r="D442" s="139"/>
      <c r="E442" s="18"/>
      <c r="F442" s="28"/>
      <c r="G442" s="118"/>
      <c r="H442" s="35"/>
      <c r="I442" s="127"/>
      <c r="J442" s="122"/>
      <c r="K442" s="19"/>
      <c r="L442" s="19"/>
      <c r="M442" s="16"/>
    </row>
    <row r="443" spans="1:13" s="20" customFormat="1" ht="24.75" customHeight="1">
      <c r="A443" s="41"/>
      <c r="B443" s="17"/>
      <c r="C443" s="51"/>
      <c r="D443" s="139"/>
      <c r="E443" s="18"/>
      <c r="F443" s="28"/>
      <c r="G443" s="118"/>
      <c r="H443" s="35"/>
      <c r="I443" s="127"/>
      <c r="J443" s="122"/>
      <c r="K443" s="19"/>
      <c r="L443" s="19"/>
      <c r="M443" s="16"/>
    </row>
    <row r="444" spans="1:13" s="20" customFormat="1" ht="24.75" customHeight="1">
      <c r="A444" s="41"/>
      <c r="B444" s="17"/>
      <c r="C444" s="51"/>
      <c r="D444" s="139"/>
      <c r="E444" s="18"/>
      <c r="F444" s="28"/>
      <c r="G444" s="118"/>
      <c r="H444" s="35"/>
      <c r="I444" s="127"/>
      <c r="J444" s="122"/>
      <c r="K444" s="19"/>
      <c r="L444" s="19"/>
      <c r="M444" s="16"/>
    </row>
    <row r="445" spans="1:13" s="20" customFormat="1" ht="24.75" customHeight="1">
      <c r="A445" s="41"/>
      <c r="B445" s="17"/>
      <c r="C445" s="51"/>
      <c r="D445" s="139"/>
      <c r="E445" s="18"/>
      <c r="F445" s="28"/>
      <c r="G445" s="118"/>
      <c r="H445" s="35"/>
      <c r="I445" s="127"/>
      <c r="J445" s="122"/>
      <c r="K445" s="19"/>
      <c r="L445" s="19"/>
      <c r="M445" s="16"/>
    </row>
    <row r="446" spans="1:13" s="20" customFormat="1" ht="24.75" customHeight="1">
      <c r="A446" s="41"/>
      <c r="B446" s="17"/>
      <c r="C446" s="51"/>
      <c r="D446" s="139"/>
      <c r="E446" s="18"/>
      <c r="F446" s="28"/>
      <c r="G446" s="118"/>
      <c r="H446" s="35"/>
      <c r="I446" s="127"/>
      <c r="J446" s="122"/>
      <c r="K446" s="19"/>
      <c r="L446" s="19"/>
      <c r="M446" s="16"/>
    </row>
    <row r="447" spans="1:13" s="20" customFormat="1" ht="24.75" customHeight="1">
      <c r="A447" s="41"/>
      <c r="B447" s="17"/>
      <c r="C447" s="51"/>
      <c r="D447" s="139"/>
      <c r="E447" s="18"/>
      <c r="F447" s="28"/>
      <c r="G447" s="118"/>
      <c r="H447" s="35"/>
      <c r="I447" s="127"/>
      <c r="J447" s="122"/>
      <c r="K447" s="19"/>
      <c r="L447" s="19"/>
      <c r="M447" s="16"/>
    </row>
    <row r="448" spans="1:13" s="20" customFormat="1" ht="24.75" customHeight="1">
      <c r="A448" s="41"/>
      <c r="B448" s="17"/>
      <c r="C448" s="51"/>
      <c r="D448" s="139"/>
      <c r="E448" s="18"/>
      <c r="F448" s="28"/>
      <c r="G448" s="118"/>
      <c r="H448" s="35"/>
      <c r="I448" s="127"/>
      <c r="J448" s="122"/>
      <c r="K448" s="19"/>
      <c r="L448" s="19"/>
      <c r="M448" s="16"/>
    </row>
    <row r="449" spans="1:13" s="20" customFormat="1" ht="24.75" customHeight="1">
      <c r="A449" s="41"/>
      <c r="B449" s="17"/>
      <c r="C449" s="51"/>
      <c r="D449" s="139"/>
      <c r="E449" s="18"/>
      <c r="F449" s="28"/>
      <c r="G449" s="118"/>
      <c r="H449" s="35"/>
      <c r="I449" s="127"/>
      <c r="J449" s="122"/>
      <c r="K449" s="19"/>
      <c r="L449" s="19"/>
      <c r="M449" s="16"/>
    </row>
    <row r="450" spans="1:13" s="20" customFormat="1" ht="24.75" customHeight="1">
      <c r="A450" s="41"/>
      <c r="B450" s="17"/>
      <c r="C450" s="51"/>
      <c r="D450" s="139"/>
      <c r="E450" s="18"/>
      <c r="F450" s="28"/>
      <c r="G450" s="118"/>
      <c r="H450" s="35"/>
      <c r="I450" s="127"/>
      <c r="J450" s="122"/>
      <c r="K450" s="19"/>
      <c r="L450" s="19"/>
      <c r="M450" s="16"/>
    </row>
    <row r="451" spans="1:13" s="20" customFormat="1" ht="24.75" customHeight="1">
      <c r="A451" s="41"/>
      <c r="B451" s="17"/>
      <c r="C451" s="51"/>
      <c r="D451" s="139"/>
      <c r="E451" s="18"/>
      <c r="F451" s="28"/>
      <c r="G451" s="118"/>
      <c r="H451" s="35"/>
      <c r="I451" s="127"/>
      <c r="J451" s="122"/>
      <c r="K451" s="19"/>
      <c r="L451" s="19"/>
      <c r="M451" s="16"/>
    </row>
    <row r="452" spans="1:13" s="20" customFormat="1" ht="24.75" customHeight="1">
      <c r="A452" s="41"/>
      <c r="B452" s="17"/>
      <c r="C452" s="51"/>
      <c r="D452" s="139"/>
      <c r="E452" s="18"/>
      <c r="F452" s="28"/>
      <c r="G452" s="118"/>
      <c r="H452" s="35"/>
      <c r="I452" s="127"/>
      <c r="J452" s="122"/>
      <c r="K452" s="19"/>
      <c r="L452" s="19"/>
      <c r="M452" s="16"/>
    </row>
    <row r="453" spans="1:13" s="20" customFormat="1" ht="24.75" customHeight="1">
      <c r="A453" s="41"/>
      <c r="B453" s="17"/>
      <c r="C453" s="51"/>
      <c r="D453" s="139"/>
      <c r="E453" s="18"/>
      <c r="F453" s="28"/>
      <c r="G453" s="118"/>
      <c r="H453" s="35"/>
      <c r="I453" s="127"/>
      <c r="J453" s="122"/>
      <c r="K453" s="19"/>
      <c r="L453" s="19"/>
      <c r="M453" s="16"/>
    </row>
    <row r="454" spans="1:13" s="20" customFormat="1" ht="24.75" customHeight="1">
      <c r="A454" s="41"/>
      <c r="B454" s="17"/>
      <c r="C454" s="51"/>
      <c r="D454" s="139"/>
      <c r="E454" s="18"/>
      <c r="F454" s="28"/>
      <c r="G454" s="118"/>
      <c r="H454" s="35"/>
      <c r="I454" s="127"/>
      <c r="J454" s="122"/>
      <c r="K454" s="19"/>
      <c r="L454" s="19"/>
      <c r="M454" s="16"/>
    </row>
    <row r="455" spans="1:13" s="20" customFormat="1" ht="24.75" customHeight="1">
      <c r="A455" s="41"/>
      <c r="B455" s="17"/>
      <c r="C455" s="51"/>
      <c r="D455" s="139"/>
      <c r="E455" s="18"/>
      <c r="F455" s="28"/>
      <c r="G455" s="118"/>
      <c r="H455" s="35"/>
      <c r="I455" s="127"/>
      <c r="J455" s="122"/>
      <c r="K455" s="19"/>
      <c r="L455" s="19"/>
      <c r="M455" s="16"/>
    </row>
    <row r="456" spans="1:13" s="20" customFormat="1" ht="24.75" customHeight="1">
      <c r="A456" s="41"/>
      <c r="B456" s="17"/>
      <c r="C456" s="51"/>
      <c r="D456" s="139"/>
      <c r="E456" s="18"/>
      <c r="F456" s="28"/>
      <c r="G456" s="118"/>
      <c r="H456" s="35"/>
      <c r="I456" s="127"/>
      <c r="J456" s="122"/>
      <c r="K456" s="19"/>
      <c r="L456" s="19"/>
      <c r="M456" s="16"/>
    </row>
    <row r="457" spans="1:13" s="20" customFormat="1" ht="24.75" customHeight="1">
      <c r="A457" s="41"/>
      <c r="B457" s="17"/>
      <c r="C457" s="51"/>
      <c r="D457" s="139"/>
      <c r="E457" s="18"/>
      <c r="F457" s="28"/>
      <c r="G457" s="118"/>
      <c r="H457" s="35"/>
      <c r="I457" s="127"/>
      <c r="J457" s="122"/>
      <c r="K457" s="19"/>
      <c r="L457" s="19"/>
      <c r="M457" s="16"/>
    </row>
    <row r="458" spans="1:13" s="20" customFormat="1" ht="24.75" customHeight="1">
      <c r="A458" s="41"/>
      <c r="B458" s="17"/>
      <c r="C458" s="51"/>
      <c r="D458" s="139"/>
      <c r="E458" s="18"/>
      <c r="F458" s="28"/>
      <c r="G458" s="118"/>
      <c r="H458" s="35"/>
      <c r="I458" s="127"/>
      <c r="J458" s="122"/>
      <c r="K458" s="19"/>
      <c r="L458" s="19"/>
      <c r="M458" s="16"/>
    </row>
    <row r="459" spans="1:13" s="20" customFormat="1" ht="24.75" customHeight="1">
      <c r="A459" s="41"/>
      <c r="B459" s="17"/>
      <c r="C459" s="51"/>
      <c r="D459" s="139"/>
      <c r="E459" s="18"/>
      <c r="F459" s="28"/>
      <c r="G459" s="118"/>
      <c r="H459" s="35"/>
      <c r="I459" s="127"/>
      <c r="J459" s="122"/>
      <c r="K459" s="19"/>
      <c r="L459" s="19"/>
      <c r="M459" s="16"/>
    </row>
    <row r="460" spans="1:13" s="20" customFormat="1" ht="24.75" customHeight="1">
      <c r="A460" s="41"/>
      <c r="B460" s="17"/>
      <c r="C460" s="51"/>
      <c r="D460" s="139"/>
      <c r="E460" s="18"/>
      <c r="F460" s="28"/>
      <c r="G460" s="118"/>
      <c r="H460" s="35"/>
      <c r="I460" s="127"/>
      <c r="J460" s="122"/>
      <c r="K460" s="19"/>
      <c r="L460" s="19"/>
      <c r="M460" s="16"/>
    </row>
    <row r="461" spans="1:13" s="20" customFormat="1" ht="24.75" customHeight="1">
      <c r="A461" s="41"/>
      <c r="B461" s="17"/>
      <c r="C461" s="51"/>
      <c r="D461" s="139"/>
      <c r="E461" s="18"/>
      <c r="F461" s="28"/>
      <c r="G461" s="118"/>
      <c r="H461" s="35"/>
      <c r="I461" s="127"/>
      <c r="J461" s="122"/>
      <c r="K461" s="19"/>
      <c r="L461" s="19"/>
      <c r="M461" s="16"/>
    </row>
    <row r="462" spans="1:13" s="20" customFormat="1" ht="24.75" customHeight="1">
      <c r="A462" s="41"/>
      <c r="B462" s="17"/>
      <c r="C462" s="51"/>
      <c r="D462" s="139"/>
      <c r="E462" s="18"/>
      <c r="F462" s="28"/>
      <c r="G462" s="118"/>
      <c r="H462" s="35"/>
      <c r="I462" s="127"/>
      <c r="J462" s="122"/>
      <c r="K462" s="19"/>
      <c r="L462" s="19"/>
      <c r="M462" s="16"/>
    </row>
    <row r="463" spans="1:13" s="20" customFormat="1" ht="24.75" customHeight="1">
      <c r="A463" s="41"/>
      <c r="B463" s="17"/>
      <c r="C463" s="51"/>
      <c r="D463" s="139"/>
      <c r="E463" s="18"/>
      <c r="F463" s="28"/>
      <c r="G463" s="118"/>
      <c r="H463" s="35"/>
      <c r="I463" s="127"/>
      <c r="J463" s="122"/>
      <c r="K463" s="19"/>
      <c r="L463" s="19"/>
      <c r="M463" s="16"/>
    </row>
    <row r="464" spans="1:13" s="20" customFormat="1" ht="24.75" customHeight="1">
      <c r="A464" s="41"/>
      <c r="B464" s="17"/>
      <c r="C464" s="51"/>
      <c r="D464" s="139"/>
      <c r="E464" s="18"/>
      <c r="F464" s="28"/>
      <c r="G464" s="118"/>
      <c r="H464" s="35"/>
      <c r="I464" s="127"/>
      <c r="J464" s="122"/>
      <c r="K464" s="19"/>
      <c r="L464" s="19"/>
      <c r="M464" s="16"/>
    </row>
    <row r="465" spans="1:13" s="20" customFormat="1" ht="24.75" customHeight="1">
      <c r="A465" s="41"/>
      <c r="B465" s="17"/>
      <c r="C465" s="51"/>
      <c r="D465" s="139"/>
      <c r="E465" s="18"/>
      <c r="F465" s="28"/>
      <c r="G465" s="118"/>
      <c r="H465" s="35"/>
      <c r="I465" s="127"/>
      <c r="J465" s="122"/>
      <c r="K465" s="19"/>
      <c r="L465" s="19"/>
      <c r="M465" s="16"/>
    </row>
    <row r="466" spans="1:13" s="20" customFormat="1" ht="24.75" customHeight="1">
      <c r="A466" s="41"/>
      <c r="B466" s="17"/>
      <c r="C466" s="51"/>
      <c r="D466" s="139"/>
      <c r="E466" s="18"/>
      <c r="F466" s="28"/>
      <c r="G466" s="118"/>
      <c r="H466" s="35"/>
      <c r="I466" s="127"/>
      <c r="J466" s="122"/>
      <c r="K466" s="19"/>
      <c r="L466" s="19"/>
      <c r="M466" s="16"/>
    </row>
    <row r="467" spans="1:13" s="20" customFormat="1" ht="24.75" customHeight="1">
      <c r="A467" s="41"/>
      <c r="B467" s="17"/>
      <c r="C467" s="51"/>
      <c r="D467" s="139"/>
      <c r="E467" s="18"/>
      <c r="F467" s="28"/>
      <c r="G467" s="118"/>
      <c r="H467" s="35"/>
      <c r="I467" s="127"/>
      <c r="J467" s="122"/>
      <c r="K467" s="19"/>
      <c r="L467" s="19"/>
      <c r="M467" s="16"/>
    </row>
    <row r="468" spans="1:13" s="20" customFormat="1" ht="24.75" customHeight="1">
      <c r="A468" s="41"/>
      <c r="B468" s="17"/>
      <c r="C468" s="51"/>
      <c r="D468" s="139"/>
      <c r="E468" s="18"/>
      <c r="F468" s="28"/>
      <c r="G468" s="118"/>
      <c r="H468" s="35"/>
      <c r="I468" s="127"/>
      <c r="J468" s="122"/>
      <c r="K468" s="19"/>
      <c r="L468" s="19"/>
      <c r="M468" s="16"/>
    </row>
    <row r="469" spans="1:13" s="20" customFormat="1" ht="24.75" customHeight="1">
      <c r="A469" s="41"/>
      <c r="B469" s="17"/>
      <c r="C469" s="51"/>
      <c r="D469" s="139"/>
      <c r="E469" s="18"/>
      <c r="F469" s="28"/>
      <c r="G469" s="118"/>
      <c r="H469" s="35"/>
      <c r="I469" s="127"/>
      <c r="J469" s="122"/>
      <c r="K469" s="19"/>
      <c r="L469" s="19"/>
      <c r="M469" s="16"/>
    </row>
    <row r="470" spans="1:13" s="20" customFormat="1" ht="24.75" customHeight="1">
      <c r="A470" s="41"/>
      <c r="B470" s="17"/>
      <c r="C470" s="51"/>
      <c r="D470" s="139"/>
      <c r="E470" s="18"/>
      <c r="F470" s="28"/>
      <c r="G470" s="118"/>
      <c r="H470" s="35"/>
      <c r="I470" s="127"/>
      <c r="J470" s="122"/>
      <c r="K470" s="19"/>
      <c r="L470" s="19"/>
      <c r="M470" s="16"/>
    </row>
    <row r="471" spans="1:13" s="20" customFormat="1" ht="24.75" customHeight="1">
      <c r="A471" s="41"/>
      <c r="B471" s="17"/>
      <c r="C471" s="51"/>
      <c r="D471" s="139"/>
      <c r="E471" s="18"/>
      <c r="F471" s="28"/>
      <c r="G471" s="118"/>
      <c r="H471" s="35"/>
      <c r="I471" s="127"/>
      <c r="J471" s="122"/>
      <c r="K471" s="19"/>
      <c r="L471" s="19"/>
      <c r="M471" s="16"/>
    </row>
    <row r="472" spans="1:13" s="20" customFormat="1" ht="24.75" customHeight="1">
      <c r="A472" s="41"/>
      <c r="B472" s="17"/>
      <c r="C472" s="51"/>
      <c r="D472" s="139"/>
      <c r="E472" s="18"/>
      <c r="F472" s="28"/>
      <c r="G472" s="118"/>
      <c r="H472" s="35"/>
      <c r="I472" s="127"/>
      <c r="J472" s="122"/>
      <c r="K472" s="19"/>
      <c r="L472" s="19"/>
      <c r="M472" s="16"/>
    </row>
    <row r="473" spans="1:13" s="20" customFormat="1" ht="24.75" customHeight="1">
      <c r="A473" s="41"/>
      <c r="B473" s="17"/>
      <c r="C473" s="51"/>
      <c r="D473" s="139"/>
      <c r="E473" s="18"/>
      <c r="F473" s="28"/>
      <c r="G473" s="118"/>
      <c r="H473" s="35"/>
      <c r="I473" s="127"/>
      <c r="J473" s="122"/>
      <c r="K473" s="19"/>
      <c r="L473" s="19"/>
      <c r="M473" s="16"/>
    </row>
    <row r="474" spans="1:13" s="20" customFormat="1" ht="24.75" customHeight="1">
      <c r="A474" s="41"/>
      <c r="B474" s="17"/>
      <c r="C474" s="51"/>
      <c r="D474" s="139"/>
      <c r="E474" s="18"/>
      <c r="F474" s="28"/>
      <c r="G474" s="118"/>
      <c r="H474" s="35"/>
      <c r="I474" s="127"/>
      <c r="J474" s="122"/>
      <c r="K474" s="19"/>
      <c r="L474" s="19"/>
      <c r="M474" s="16"/>
    </row>
    <row r="475" spans="1:13" s="20" customFormat="1" ht="24.75" customHeight="1">
      <c r="A475" s="41"/>
      <c r="B475" s="17"/>
      <c r="C475" s="51"/>
      <c r="D475" s="139"/>
      <c r="E475" s="18"/>
      <c r="F475" s="28"/>
      <c r="G475" s="118"/>
      <c r="H475" s="35"/>
      <c r="I475" s="127"/>
      <c r="J475" s="122"/>
      <c r="K475" s="19"/>
      <c r="L475" s="19"/>
      <c r="M475" s="16"/>
    </row>
    <row r="476" spans="1:13" s="20" customFormat="1" ht="24.75" customHeight="1">
      <c r="A476" s="41"/>
      <c r="B476" s="17"/>
      <c r="C476" s="51"/>
      <c r="D476" s="139"/>
      <c r="E476" s="18"/>
      <c r="F476" s="28"/>
      <c r="G476" s="118"/>
      <c r="H476" s="35"/>
      <c r="I476" s="127"/>
      <c r="J476" s="122"/>
      <c r="K476" s="19"/>
      <c r="L476" s="19"/>
      <c r="M476" s="16"/>
    </row>
    <row r="477" spans="1:13" s="20" customFormat="1" ht="24.75" customHeight="1">
      <c r="A477" s="41"/>
      <c r="B477" s="17"/>
      <c r="C477" s="51"/>
      <c r="D477" s="139"/>
      <c r="E477" s="18"/>
      <c r="F477" s="28"/>
      <c r="G477" s="118"/>
      <c r="H477" s="35"/>
      <c r="I477" s="127"/>
      <c r="J477" s="122"/>
      <c r="K477" s="19"/>
      <c r="L477" s="19"/>
      <c r="M477" s="16"/>
    </row>
    <row r="478" spans="1:13" s="20" customFormat="1" ht="24.75" customHeight="1">
      <c r="A478" s="41"/>
      <c r="B478" s="17"/>
      <c r="C478" s="51"/>
      <c r="D478" s="139"/>
      <c r="E478" s="18"/>
      <c r="F478" s="28"/>
      <c r="G478" s="118"/>
      <c r="H478" s="35"/>
      <c r="I478" s="127"/>
      <c r="J478" s="122"/>
      <c r="K478" s="19"/>
      <c r="L478" s="19"/>
      <c r="M478" s="16"/>
    </row>
    <row r="479" spans="1:13" s="20" customFormat="1" ht="24.75" customHeight="1">
      <c r="A479" s="41"/>
      <c r="B479" s="17"/>
      <c r="C479" s="51"/>
      <c r="D479" s="139"/>
      <c r="E479" s="18"/>
      <c r="F479" s="28"/>
      <c r="G479" s="118"/>
      <c r="H479" s="35"/>
      <c r="I479" s="127"/>
      <c r="J479" s="122"/>
      <c r="K479" s="19"/>
      <c r="L479" s="19"/>
      <c r="M479" s="16"/>
    </row>
    <row r="480" spans="1:13" s="20" customFormat="1" ht="24.75" customHeight="1">
      <c r="A480" s="41"/>
      <c r="B480" s="17"/>
      <c r="C480" s="51"/>
      <c r="D480" s="139"/>
      <c r="E480" s="18"/>
      <c r="F480" s="28"/>
      <c r="G480" s="118"/>
      <c r="H480" s="35"/>
      <c r="I480" s="127"/>
      <c r="J480" s="122"/>
      <c r="K480" s="19"/>
      <c r="L480" s="19"/>
      <c r="M480" s="16"/>
    </row>
    <row r="481" spans="1:13" s="20" customFormat="1" ht="24.75" customHeight="1">
      <c r="A481" s="41"/>
      <c r="B481" s="17"/>
      <c r="C481" s="51"/>
      <c r="D481" s="139"/>
      <c r="E481" s="18"/>
      <c r="F481" s="28"/>
      <c r="G481" s="118"/>
      <c r="H481" s="35"/>
      <c r="I481" s="127"/>
      <c r="J481" s="122"/>
      <c r="K481" s="19"/>
      <c r="L481" s="19"/>
      <c r="M481" s="16"/>
    </row>
    <row r="482" spans="1:13" s="20" customFormat="1" ht="24.75" customHeight="1">
      <c r="A482" s="41"/>
      <c r="B482" s="17"/>
      <c r="C482" s="51"/>
      <c r="D482" s="139"/>
      <c r="E482" s="18"/>
      <c r="F482" s="28"/>
      <c r="G482" s="118"/>
      <c r="H482" s="35"/>
      <c r="I482" s="127"/>
      <c r="J482" s="122"/>
      <c r="K482" s="19"/>
      <c r="L482" s="19"/>
      <c r="M482" s="16"/>
    </row>
    <row r="483" spans="1:13" s="20" customFormat="1" ht="24.75" customHeight="1">
      <c r="A483" s="41"/>
      <c r="B483" s="17"/>
      <c r="C483" s="51"/>
      <c r="D483" s="139"/>
      <c r="E483" s="18"/>
      <c r="F483" s="28"/>
      <c r="G483" s="118"/>
      <c r="H483" s="35"/>
      <c r="I483" s="127"/>
      <c r="J483" s="122"/>
      <c r="K483" s="19"/>
      <c r="L483" s="19"/>
      <c r="M483" s="16"/>
    </row>
    <row r="484" spans="1:13" s="20" customFormat="1" ht="24.75" customHeight="1">
      <c r="A484" s="41"/>
      <c r="B484" s="17"/>
      <c r="C484" s="51"/>
      <c r="D484" s="139"/>
      <c r="E484" s="18"/>
      <c r="F484" s="28"/>
      <c r="G484" s="118"/>
      <c r="H484" s="35"/>
      <c r="I484" s="127"/>
      <c r="J484" s="122"/>
      <c r="K484" s="19"/>
      <c r="L484" s="19"/>
      <c r="M484" s="16"/>
    </row>
    <row r="485" spans="1:13" s="20" customFormat="1" ht="24.75" customHeight="1">
      <c r="A485" s="41"/>
      <c r="B485" s="17"/>
      <c r="C485" s="51"/>
      <c r="D485" s="139"/>
      <c r="E485" s="18"/>
      <c r="F485" s="28"/>
      <c r="G485" s="118"/>
      <c r="H485" s="35"/>
      <c r="I485" s="127"/>
      <c r="J485" s="122"/>
      <c r="K485" s="19"/>
      <c r="L485" s="19"/>
      <c r="M485" s="16"/>
    </row>
    <row r="486" spans="1:13" s="20" customFormat="1" ht="24.75" customHeight="1">
      <c r="A486" s="41"/>
      <c r="B486" s="17"/>
      <c r="C486" s="51"/>
      <c r="D486" s="139"/>
      <c r="E486" s="18"/>
      <c r="F486" s="28"/>
      <c r="G486" s="118"/>
      <c r="H486" s="35"/>
      <c r="I486" s="127"/>
      <c r="J486" s="122"/>
      <c r="K486" s="19"/>
      <c r="L486" s="19"/>
      <c r="M486" s="16"/>
    </row>
    <row r="487" spans="1:13" s="20" customFormat="1" ht="24.75" customHeight="1">
      <c r="A487" s="41"/>
      <c r="B487" s="17"/>
      <c r="C487" s="51"/>
      <c r="D487" s="139"/>
      <c r="E487" s="18"/>
      <c r="F487" s="28"/>
      <c r="G487" s="118"/>
      <c r="H487" s="35"/>
      <c r="I487" s="127"/>
      <c r="J487" s="122"/>
      <c r="K487" s="19"/>
      <c r="L487" s="19"/>
      <c r="M487" s="16"/>
    </row>
    <row r="488" spans="1:13" s="20" customFormat="1" ht="24.75" customHeight="1">
      <c r="A488" s="41"/>
      <c r="B488" s="17"/>
      <c r="C488" s="51"/>
      <c r="D488" s="139"/>
      <c r="E488" s="18"/>
      <c r="F488" s="28"/>
      <c r="G488" s="118"/>
      <c r="H488" s="35"/>
      <c r="I488" s="127"/>
      <c r="J488" s="122"/>
      <c r="K488" s="19"/>
      <c r="L488" s="19"/>
      <c r="M488" s="16"/>
    </row>
    <row r="489" spans="1:13" s="20" customFormat="1" ht="24.75" customHeight="1">
      <c r="A489" s="41"/>
      <c r="B489" s="17"/>
      <c r="C489" s="51"/>
      <c r="D489" s="139"/>
      <c r="E489" s="18"/>
      <c r="F489" s="28"/>
      <c r="G489" s="118"/>
      <c r="H489" s="35"/>
      <c r="I489" s="127"/>
      <c r="J489" s="122"/>
      <c r="K489" s="19"/>
      <c r="L489" s="19"/>
      <c r="M489" s="16"/>
    </row>
    <row r="490" spans="1:13" s="20" customFormat="1" ht="24.75" customHeight="1">
      <c r="A490" s="41"/>
      <c r="B490" s="17"/>
      <c r="C490" s="51"/>
      <c r="D490" s="139"/>
      <c r="E490" s="18"/>
      <c r="F490" s="28"/>
      <c r="G490" s="118"/>
      <c r="H490" s="35"/>
      <c r="I490" s="127"/>
      <c r="J490" s="122"/>
      <c r="K490" s="19"/>
      <c r="L490" s="19"/>
      <c r="M490" s="16"/>
    </row>
    <row r="491" spans="1:13" s="20" customFormat="1" ht="24.75" customHeight="1">
      <c r="A491" s="41"/>
      <c r="B491" s="17"/>
      <c r="C491" s="51"/>
      <c r="D491" s="139"/>
      <c r="E491" s="18"/>
      <c r="F491" s="28"/>
      <c r="G491" s="118"/>
      <c r="H491" s="35"/>
      <c r="I491" s="127"/>
      <c r="J491" s="122"/>
      <c r="K491" s="19"/>
      <c r="L491" s="19"/>
      <c r="M491" s="16"/>
    </row>
    <row r="492" spans="1:13" s="20" customFormat="1" ht="24.75" customHeight="1">
      <c r="A492" s="41"/>
      <c r="B492" s="17"/>
      <c r="C492" s="51"/>
      <c r="D492" s="139"/>
      <c r="E492" s="18"/>
      <c r="F492" s="28"/>
      <c r="G492" s="118"/>
      <c r="H492" s="35"/>
      <c r="I492" s="127"/>
      <c r="J492" s="122"/>
      <c r="K492" s="19"/>
      <c r="L492" s="19"/>
      <c r="M492" s="16"/>
    </row>
    <row r="493" spans="1:13" s="20" customFormat="1" ht="24.75" customHeight="1">
      <c r="A493" s="41"/>
      <c r="B493" s="17"/>
      <c r="C493" s="51"/>
      <c r="D493" s="139"/>
      <c r="E493" s="18"/>
      <c r="F493" s="28"/>
      <c r="G493" s="118"/>
      <c r="H493" s="35"/>
      <c r="I493" s="127"/>
      <c r="J493" s="122"/>
      <c r="K493" s="19"/>
      <c r="L493" s="19"/>
      <c r="M493" s="16"/>
    </row>
    <row r="494" spans="1:13" s="20" customFormat="1" ht="24.75" customHeight="1">
      <c r="A494" s="41"/>
      <c r="B494" s="17"/>
      <c r="C494" s="51"/>
      <c r="D494" s="139"/>
      <c r="E494" s="18"/>
      <c r="F494" s="28"/>
      <c r="G494" s="118"/>
      <c r="H494" s="35"/>
      <c r="I494" s="127"/>
      <c r="J494" s="122"/>
      <c r="K494" s="19"/>
      <c r="L494" s="19"/>
      <c r="M494" s="16"/>
    </row>
    <row r="495" spans="1:13" s="20" customFormat="1" ht="24.75" customHeight="1">
      <c r="A495" s="41"/>
      <c r="B495" s="17"/>
      <c r="C495" s="51"/>
      <c r="D495" s="139"/>
      <c r="E495" s="18"/>
      <c r="F495" s="28"/>
      <c r="G495" s="118"/>
      <c r="H495" s="35"/>
      <c r="I495" s="127"/>
      <c r="J495" s="122"/>
      <c r="K495" s="19"/>
      <c r="L495" s="19"/>
      <c r="M495" s="16"/>
    </row>
    <row r="496" spans="1:13" s="20" customFormat="1" ht="24.75" customHeight="1">
      <c r="A496" s="41"/>
      <c r="B496" s="17"/>
      <c r="C496" s="51"/>
      <c r="D496" s="139"/>
      <c r="E496" s="18"/>
      <c r="F496" s="28"/>
      <c r="G496" s="118"/>
      <c r="H496" s="35"/>
      <c r="I496" s="127"/>
      <c r="J496" s="122"/>
      <c r="K496" s="19"/>
      <c r="L496" s="19"/>
      <c r="M496" s="16"/>
    </row>
    <row r="497" spans="1:13" s="20" customFormat="1" ht="24.75" customHeight="1">
      <c r="A497" s="41"/>
      <c r="B497" s="17"/>
      <c r="C497" s="51"/>
      <c r="D497" s="139"/>
      <c r="E497" s="18"/>
      <c r="F497" s="28"/>
      <c r="G497" s="118"/>
      <c r="H497" s="35"/>
      <c r="I497" s="127"/>
      <c r="J497" s="122"/>
      <c r="K497" s="19"/>
      <c r="L497" s="19"/>
      <c r="M497" s="16"/>
    </row>
    <row r="498" spans="1:13" s="20" customFormat="1" ht="24.75" customHeight="1">
      <c r="A498" s="41"/>
      <c r="B498" s="17"/>
      <c r="C498" s="51"/>
      <c r="D498" s="139"/>
      <c r="E498" s="18"/>
      <c r="F498" s="28"/>
      <c r="G498" s="118"/>
      <c r="H498" s="35"/>
      <c r="I498" s="127"/>
      <c r="J498" s="122"/>
      <c r="K498" s="19"/>
      <c r="L498" s="19"/>
      <c r="M498" s="16"/>
    </row>
    <row r="499" spans="1:13" s="20" customFormat="1" ht="24.75" customHeight="1">
      <c r="A499" s="41"/>
      <c r="B499" s="17"/>
      <c r="C499" s="51"/>
      <c r="D499" s="139"/>
      <c r="E499" s="18"/>
      <c r="F499" s="28"/>
      <c r="G499" s="118"/>
      <c r="H499" s="35"/>
      <c r="I499" s="127"/>
      <c r="J499" s="122"/>
      <c r="K499" s="19"/>
      <c r="L499" s="19"/>
      <c r="M499" s="16"/>
    </row>
    <row r="500" spans="1:13" s="20" customFormat="1" ht="24.75" customHeight="1">
      <c r="A500" s="41"/>
      <c r="B500" s="17"/>
      <c r="C500" s="51"/>
      <c r="D500" s="139"/>
      <c r="E500" s="18"/>
      <c r="F500" s="28"/>
      <c r="G500" s="118"/>
      <c r="H500" s="35"/>
      <c r="I500" s="127"/>
      <c r="J500" s="122"/>
      <c r="K500" s="19"/>
      <c r="L500" s="19"/>
      <c r="M500" s="16"/>
    </row>
    <row r="501" spans="1:13" s="20" customFormat="1" ht="24.75" customHeight="1">
      <c r="A501" s="41"/>
      <c r="B501" s="17"/>
      <c r="C501" s="51"/>
      <c r="D501" s="139"/>
      <c r="E501" s="18"/>
      <c r="F501" s="28"/>
      <c r="G501" s="118"/>
      <c r="H501" s="35"/>
      <c r="I501" s="127"/>
      <c r="J501" s="122"/>
      <c r="K501" s="19"/>
      <c r="L501" s="19"/>
      <c r="M501" s="16"/>
    </row>
    <row r="502" spans="1:13" s="20" customFormat="1" ht="24.75" customHeight="1">
      <c r="A502" s="41"/>
      <c r="B502" s="17"/>
      <c r="C502" s="51"/>
      <c r="D502" s="139"/>
      <c r="E502" s="18"/>
      <c r="F502" s="28"/>
      <c r="G502" s="118"/>
      <c r="H502" s="35"/>
      <c r="I502" s="127"/>
      <c r="J502" s="122"/>
      <c r="K502" s="19"/>
      <c r="L502" s="19"/>
      <c r="M502" s="16"/>
    </row>
    <row r="503" spans="1:13" s="20" customFormat="1" ht="24.75" customHeight="1">
      <c r="A503" s="41"/>
      <c r="B503" s="17"/>
      <c r="C503" s="51"/>
      <c r="D503" s="139"/>
      <c r="E503" s="18"/>
      <c r="F503" s="28"/>
      <c r="G503" s="118"/>
      <c r="H503" s="35"/>
      <c r="I503" s="127"/>
      <c r="J503" s="122"/>
      <c r="K503" s="19"/>
      <c r="L503" s="19"/>
      <c r="M503" s="16"/>
    </row>
    <row r="504" spans="1:13" s="20" customFormat="1" ht="24.75" customHeight="1">
      <c r="A504" s="41"/>
      <c r="B504" s="17"/>
      <c r="C504" s="51"/>
      <c r="D504" s="139"/>
      <c r="E504" s="18"/>
      <c r="F504" s="28"/>
      <c r="G504" s="118"/>
      <c r="H504" s="35"/>
      <c r="I504" s="127"/>
      <c r="J504" s="122"/>
      <c r="K504" s="19"/>
      <c r="L504" s="19"/>
      <c r="M504" s="16"/>
    </row>
    <row r="505" spans="1:13" s="20" customFormat="1" ht="24.75" customHeight="1">
      <c r="A505" s="41"/>
      <c r="B505" s="17"/>
      <c r="C505" s="51"/>
      <c r="D505" s="139"/>
      <c r="E505" s="18"/>
      <c r="F505" s="28"/>
      <c r="G505" s="118"/>
      <c r="H505" s="35"/>
      <c r="I505" s="127"/>
      <c r="J505" s="122"/>
      <c r="K505" s="19"/>
      <c r="L505" s="19"/>
      <c r="M505" s="16"/>
    </row>
    <row r="506" spans="1:13" s="20" customFormat="1" ht="24.75" customHeight="1">
      <c r="A506" s="41"/>
      <c r="B506" s="17"/>
      <c r="C506" s="51"/>
      <c r="D506" s="139"/>
      <c r="E506" s="18"/>
      <c r="F506" s="28"/>
      <c r="G506" s="118"/>
      <c r="H506" s="35"/>
      <c r="I506" s="127"/>
      <c r="J506" s="122"/>
      <c r="K506" s="19"/>
      <c r="L506" s="19"/>
      <c r="M506" s="16"/>
    </row>
    <row r="507" spans="1:13" s="20" customFormat="1" ht="24.75" customHeight="1">
      <c r="A507" s="41"/>
      <c r="B507" s="17"/>
      <c r="C507" s="51"/>
      <c r="D507" s="139"/>
      <c r="E507" s="18"/>
      <c r="F507" s="28"/>
      <c r="G507" s="118"/>
      <c r="H507" s="35"/>
      <c r="I507" s="127"/>
      <c r="J507" s="122"/>
      <c r="K507" s="19"/>
      <c r="L507" s="19"/>
      <c r="M507" s="16"/>
    </row>
    <row r="508" spans="1:13" s="20" customFormat="1" ht="24.75" customHeight="1">
      <c r="A508" s="41"/>
      <c r="B508" s="17"/>
      <c r="C508" s="51"/>
      <c r="D508" s="139"/>
      <c r="E508" s="18"/>
      <c r="F508" s="28"/>
      <c r="G508" s="118"/>
      <c r="H508" s="35"/>
      <c r="I508" s="127"/>
      <c r="J508" s="122"/>
      <c r="K508" s="19"/>
      <c r="L508" s="19"/>
      <c r="M508" s="16"/>
    </row>
    <row r="509" spans="1:13" s="20" customFormat="1" ht="24.75" customHeight="1">
      <c r="A509" s="41"/>
      <c r="B509" s="17"/>
      <c r="C509" s="51"/>
      <c r="D509" s="139"/>
      <c r="E509" s="18"/>
      <c r="F509" s="28"/>
      <c r="G509" s="118"/>
      <c r="H509" s="35"/>
      <c r="I509" s="127"/>
      <c r="J509" s="122"/>
      <c r="K509" s="19"/>
      <c r="L509" s="19"/>
      <c r="M509" s="16"/>
    </row>
    <row r="510" spans="1:13" s="20" customFormat="1" ht="24.75" customHeight="1">
      <c r="A510" s="41"/>
      <c r="B510" s="17"/>
      <c r="C510" s="51"/>
      <c r="D510" s="139"/>
      <c r="E510" s="18"/>
      <c r="F510" s="28"/>
      <c r="G510" s="118"/>
      <c r="H510" s="35"/>
      <c r="I510" s="127"/>
      <c r="J510" s="122"/>
      <c r="K510" s="19"/>
      <c r="L510" s="19"/>
      <c r="M510" s="16"/>
    </row>
    <row r="511" spans="1:13" s="20" customFormat="1" ht="24.75" customHeight="1">
      <c r="A511" s="41"/>
      <c r="B511" s="17"/>
      <c r="C511" s="51"/>
      <c r="D511" s="139"/>
      <c r="E511" s="18"/>
      <c r="F511" s="28"/>
      <c r="G511" s="118"/>
      <c r="H511" s="35"/>
      <c r="I511" s="127"/>
      <c r="J511" s="122"/>
      <c r="K511" s="19"/>
      <c r="L511" s="19"/>
      <c r="M511" s="16"/>
    </row>
    <row r="512" spans="1:13" s="20" customFormat="1" ht="24.75" customHeight="1">
      <c r="A512" s="41"/>
      <c r="B512" s="17"/>
      <c r="C512" s="51"/>
      <c r="D512" s="139"/>
      <c r="E512" s="18"/>
      <c r="F512" s="28"/>
      <c r="G512" s="118"/>
      <c r="H512" s="35"/>
      <c r="I512" s="127"/>
      <c r="J512" s="122"/>
      <c r="K512" s="19"/>
      <c r="L512" s="19"/>
      <c r="M512" s="16"/>
    </row>
    <row r="513" spans="1:13" s="20" customFormat="1" ht="24.75" customHeight="1">
      <c r="A513" s="41"/>
      <c r="B513" s="17"/>
      <c r="C513" s="51"/>
      <c r="D513" s="139"/>
      <c r="E513" s="18"/>
      <c r="F513" s="28"/>
      <c r="G513" s="118"/>
      <c r="H513" s="35"/>
      <c r="I513" s="127"/>
      <c r="J513" s="122"/>
      <c r="K513" s="19"/>
      <c r="L513" s="19"/>
      <c r="M513" s="16"/>
    </row>
    <row r="514" spans="1:13" s="20" customFormat="1" ht="24.75" customHeight="1">
      <c r="A514" s="41"/>
      <c r="B514" s="17"/>
      <c r="C514" s="51"/>
      <c r="D514" s="139"/>
      <c r="E514" s="18"/>
      <c r="F514" s="28"/>
      <c r="G514" s="118"/>
      <c r="H514" s="35"/>
      <c r="I514" s="127"/>
      <c r="J514" s="122"/>
      <c r="K514" s="19"/>
      <c r="L514" s="19"/>
      <c r="M514" s="16"/>
    </row>
    <row r="515" spans="1:13" s="20" customFormat="1" ht="24.75" customHeight="1">
      <c r="A515" s="41"/>
      <c r="B515" s="17"/>
      <c r="C515" s="51"/>
      <c r="D515" s="139"/>
      <c r="E515" s="18"/>
      <c r="F515" s="28"/>
      <c r="G515" s="118"/>
      <c r="H515" s="35"/>
      <c r="I515" s="127"/>
      <c r="J515" s="122"/>
      <c r="K515" s="19"/>
      <c r="L515" s="19"/>
      <c r="M515" s="16"/>
    </row>
    <row r="516" spans="1:13" s="20" customFormat="1" ht="24.75" customHeight="1">
      <c r="A516" s="41"/>
      <c r="B516" s="17"/>
      <c r="C516" s="51"/>
      <c r="D516" s="139"/>
      <c r="E516" s="18"/>
      <c r="F516" s="28"/>
      <c r="G516" s="118"/>
      <c r="H516" s="35"/>
      <c r="I516" s="127"/>
      <c r="J516" s="122"/>
      <c r="K516" s="19"/>
      <c r="L516" s="19"/>
      <c r="M516" s="16"/>
    </row>
    <row r="517" spans="1:13" s="20" customFormat="1" ht="24.75" customHeight="1">
      <c r="A517" s="41"/>
      <c r="B517" s="17"/>
      <c r="C517" s="51"/>
      <c r="D517" s="139"/>
      <c r="E517" s="18"/>
      <c r="F517" s="28"/>
      <c r="G517" s="118"/>
      <c r="H517" s="35"/>
      <c r="I517" s="127"/>
      <c r="J517" s="122"/>
      <c r="K517" s="19"/>
      <c r="L517" s="19"/>
      <c r="M517" s="16"/>
    </row>
    <row r="518" spans="1:13" s="20" customFormat="1" ht="24.75" customHeight="1">
      <c r="A518" s="41"/>
      <c r="B518" s="17"/>
      <c r="C518" s="51"/>
      <c r="D518" s="139"/>
      <c r="E518" s="18"/>
      <c r="F518" s="28"/>
      <c r="G518" s="118"/>
      <c r="H518" s="35"/>
      <c r="I518" s="127"/>
      <c r="J518" s="122"/>
      <c r="K518" s="19"/>
      <c r="L518" s="19"/>
      <c r="M518" s="16"/>
    </row>
    <row r="519" spans="1:13" s="20" customFormat="1" ht="24.75" customHeight="1">
      <c r="A519" s="41"/>
      <c r="B519" s="17"/>
      <c r="C519" s="51"/>
      <c r="D519" s="139"/>
      <c r="E519" s="18"/>
      <c r="F519" s="28"/>
      <c r="G519" s="118"/>
      <c r="H519" s="35"/>
      <c r="I519" s="127"/>
      <c r="J519" s="122"/>
      <c r="K519" s="19"/>
      <c r="L519" s="19"/>
      <c r="M519" s="16"/>
    </row>
    <row r="520" spans="1:13" s="20" customFormat="1" ht="24.75" customHeight="1">
      <c r="A520" s="41"/>
      <c r="B520" s="17"/>
      <c r="C520" s="51"/>
      <c r="D520" s="139"/>
      <c r="E520" s="18"/>
      <c r="F520" s="28"/>
      <c r="G520" s="118"/>
      <c r="H520" s="35"/>
      <c r="I520" s="127"/>
      <c r="J520" s="122"/>
      <c r="K520" s="19"/>
      <c r="L520" s="19"/>
      <c r="M520" s="16"/>
    </row>
    <row r="521" spans="1:13" s="20" customFormat="1" ht="24.75" customHeight="1">
      <c r="A521" s="41"/>
      <c r="B521" s="17"/>
      <c r="C521" s="51"/>
      <c r="D521" s="139"/>
      <c r="E521" s="18"/>
      <c r="F521" s="28"/>
      <c r="G521" s="118"/>
      <c r="H521" s="35"/>
      <c r="I521" s="127"/>
      <c r="J521" s="122"/>
      <c r="K521" s="19"/>
      <c r="L521" s="19"/>
      <c r="M521" s="16"/>
    </row>
    <row r="522" spans="1:13" s="20" customFormat="1" ht="24.75" customHeight="1">
      <c r="A522" s="41"/>
      <c r="B522" s="17"/>
      <c r="C522" s="51"/>
      <c r="D522" s="139"/>
      <c r="E522" s="18"/>
      <c r="F522" s="28"/>
      <c r="G522" s="118"/>
      <c r="H522" s="35"/>
      <c r="I522" s="127"/>
      <c r="J522" s="122"/>
      <c r="K522" s="19"/>
      <c r="L522" s="19"/>
      <c r="M522" s="16"/>
    </row>
    <row r="523" spans="1:13" s="20" customFormat="1" ht="24.75" customHeight="1">
      <c r="A523" s="41"/>
      <c r="B523" s="17"/>
      <c r="C523" s="51"/>
      <c r="D523" s="139"/>
      <c r="E523" s="18"/>
      <c r="F523" s="28"/>
      <c r="G523" s="118"/>
      <c r="H523" s="35"/>
      <c r="I523" s="127"/>
      <c r="J523" s="122"/>
      <c r="K523" s="19"/>
      <c r="L523" s="19"/>
      <c r="M523" s="16"/>
    </row>
    <row r="524" spans="1:13" s="20" customFormat="1" ht="24.75" customHeight="1">
      <c r="A524" s="41"/>
      <c r="B524" s="17"/>
      <c r="C524" s="51"/>
      <c r="D524" s="139"/>
      <c r="E524" s="18"/>
      <c r="F524" s="28"/>
      <c r="G524" s="118"/>
      <c r="H524" s="35"/>
      <c r="I524" s="127"/>
      <c r="J524" s="122"/>
      <c r="K524" s="19"/>
      <c r="L524" s="19"/>
      <c r="M524" s="16"/>
    </row>
    <row r="525" spans="1:13" s="20" customFormat="1" ht="24.75" customHeight="1">
      <c r="A525" s="41"/>
      <c r="B525" s="17"/>
      <c r="C525" s="51"/>
      <c r="D525" s="139"/>
      <c r="E525" s="18"/>
      <c r="F525" s="28"/>
      <c r="G525" s="118"/>
      <c r="H525" s="35"/>
      <c r="I525" s="127"/>
      <c r="J525" s="122"/>
      <c r="K525" s="19"/>
      <c r="L525" s="19"/>
      <c r="M525" s="16"/>
    </row>
    <row r="526" spans="1:13" s="20" customFormat="1" ht="24.75" customHeight="1">
      <c r="A526" s="41"/>
      <c r="B526" s="17"/>
      <c r="C526" s="51"/>
      <c r="D526" s="139"/>
      <c r="E526" s="18"/>
      <c r="F526" s="28"/>
      <c r="G526" s="118"/>
      <c r="H526" s="35"/>
      <c r="I526" s="127"/>
      <c r="J526" s="122"/>
      <c r="K526" s="19"/>
      <c r="L526" s="19"/>
      <c r="M526" s="16"/>
    </row>
    <row r="527" spans="1:13" s="20" customFormat="1" ht="24.75" customHeight="1">
      <c r="A527" s="41"/>
      <c r="B527" s="17"/>
      <c r="C527" s="51"/>
      <c r="D527" s="139"/>
      <c r="E527" s="18"/>
      <c r="F527" s="28"/>
      <c r="G527" s="118"/>
      <c r="H527" s="35"/>
      <c r="I527" s="127"/>
      <c r="J527" s="122"/>
      <c r="K527" s="19"/>
      <c r="L527" s="19"/>
      <c r="M527" s="16"/>
    </row>
    <row r="528" spans="1:13" s="20" customFormat="1" ht="24.75" customHeight="1">
      <c r="A528" s="41"/>
      <c r="B528" s="17"/>
      <c r="C528" s="51"/>
      <c r="D528" s="139"/>
      <c r="E528" s="18"/>
      <c r="F528" s="28"/>
      <c r="G528" s="118"/>
      <c r="H528" s="35"/>
      <c r="I528" s="127"/>
      <c r="J528" s="122"/>
      <c r="K528" s="19"/>
      <c r="L528" s="19"/>
      <c r="M528" s="16"/>
    </row>
    <row r="529" spans="1:13" s="20" customFormat="1" ht="24.75" customHeight="1">
      <c r="A529" s="41"/>
      <c r="B529" s="17"/>
      <c r="C529" s="51"/>
      <c r="D529" s="139"/>
      <c r="E529" s="18"/>
      <c r="F529" s="28"/>
      <c r="G529" s="118"/>
      <c r="H529" s="35"/>
      <c r="I529" s="127"/>
      <c r="J529" s="122"/>
      <c r="K529" s="19"/>
      <c r="L529" s="19"/>
      <c r="M529" s="16"/>
    </row>
    <row r="530" spans="1:13" s="20" customFormat="1" ht="24.75" customHeight="1">
      <c r="A530" s="41"/>
      <c r="B530" s="17"/>
      <c r="C530" s="51"/>
      <c r="D530" s="139"/>
      <c r="E530" s="18"/>
      <c r="F530" s="28"/>
      <c r="G530" s="118"/>
      <c r="H530" s="35"/>
      <c r="I530" s="127"/>
      <c r="J530" s="122"/>
      <c r="K530" s="19"/>
      <c r="L530" s="19"/>
      <c r="M530" s="16"/>
    </row>
    <row r="531" spans="1:13" s="20" customFormat="1" ht="24.75" customHeight="1">
      <c r="A531" s="41"/>
      <c r="B531" s="17"/>
      <c r="C531" s="51"/>
      <c r="D531" s="139"/>
      <c r="E531" s="18"/>
      <c r="F531" s="28"/>
      <c r="G531" s="118"/>
      <c r="H531" s="35"/>
      <c r="I531" s="127"/>
      <c r="J531" s="122"/>
      <c r="K531" s="19"/>
      <c r="L531" s="19"/>
      <c r="M531" s="16"/>
    </row>
    <row r="532" spans="1:13" s="20" customFormat="1" ht="24.75" customHeight="1">
      <c r="A532" s="41"/>
      <c r="B532" s="17"/>
      <c r="C532" s="51"/>
      <c r="D532" s="139"/>
      <c r="E532" s="18"/>
      <c r="F532" s="28"/>
      <c r="G532" s="118"/>
      <c r="H532" s="35"/>
      <c r="I532" s="127"/>
      <c r="J532" s="122"/>
      <c r="K532" s="19"/>
      <c r="L532" s="19"/>
      <c r="M532" s="16"/>
    </row>
    <row r="533" spans="1:13" s="20" customFormat="1" ht="24.75" customHeight="1">
      <c r="A533" s="41"/>
      <c r="B533" s="17"/>
      <c r="C533" s="51"/>
      <c r="D533" s="139"/>
      <c r="E533" s="18"/>
      <c r="F533" s="28"/>
      <c r="G533" s="118"/>
      <c r="H533" s="35"/>
      <c r="I533" s="127"/>
      <c r="J533" s="122"/>
      <c r="K533" s="19"/>
      <c r="L533" s="19"/>
      <c r="M533" s="16"/>
    </row>
    <row r="534" spans="1:13" s="20" customFormat="1" ht="24.75" customHeight="1">
      <c r="A534" s="41"/>
      <c r="B534" s="17"/>
      <c r="C534" s="51"/>
      <c r="D534" s="139"/>
      <c r="E534" s="18"/>
      <c r="F534" s="28"/>
      <c r="G534" s="118"/>
      <c r="H534" s="35"/>
      <c r="I534" s="127"/>
      <c r="J534" s="122"/>
      <c r="K534" s="19"/>
      <c r="L534" s="19"/>
      <c r="M534" s="16"/>
    </row>
    <row r="535" spans="1:13" s="20" customFormat="1" ht="24.75" customHeight="1">
      <c r="A535" s="41"/>
      <c r="B535" s="17"/>
      <c r="C535" s="51"/>
      <c r="D535" s="139"/>
      <c r="E535" s="18"/>
      <c r="F535" s="28"/>
      <c r="G535" s="118"/>
      <c r="H535" s="35"/>
      <c r="I535" s="127"/>
      <c r="J535" s="122"/>
      <c r="K535" s="19"/>
      <c r="L535" s="19"/>
      <c r="M535" s="16"/>
    </row>
    <row r="536" spans="1:13" s="20" customFormat="1" ht="24.75" customHeight="1">
      <c r="A536" s="41"/>
      <c r="B536" s="17"/>
      <c r="C536" s="51"/>
      <c r="D536" s="139"/>
      <c r="E536" s="18"/>
      <c r="F536" s="28"/>
      <c r="G536" s="118"/>
      <c r="H536" s="35"/>
      <c r="I536" s="127"/>
      <c r="J536" s="122"/>
      <c r="K536" s="19"/>
      <c r="L536" s="19"/>
      <c r="M536" s="16"/>
    </row>
    <row r="537" spans="1:13" s="20" customFormat="1" ht="24.75" customHeight="1">
      <c r="A537" s="41"/>
      <c r="B537" s="17"/>
      <c r="C537" s="51"/>
      <c r="D537" s="139"/>
      <c r="E537" s="18"/>
      <c r="F537" s="28"/>
      <c r="G537" s="118"/>
      <c r="H537" s="35"/>
      <c r="I537" s="127"/>
      <c r="J537" s="122"/>
      <c r="K537" s="19"/>
      <c r="L537" s="19"/>
      <c r="M537" s="16"/>
    </row>
    <row r="538" spans="1:13" s="20" customFormat="1" ht="24.75" customHeight="1">
      <c r="A538" s="41"/>
      <c r="B538" s="17"/>
      <c r="C538" s="51"/>
      <c r="D538" s="139"/>
      <c r="E538" s="18"/>
      <c r="F538" s="28"/>
      <c r="G538" s="118"/>
      <c r="H538" s="35"/>
      <c r="I538" s="127"/>
      <c r="J538" s="122"/>
      <c r="K538" s="19"/>
      <c r="L538" s="19"/>
      <c r="M538" s="16"/>
    </row>
    <row r="539" spans="1:13" s="20" customFormat="1" ht="24.75" customHeight="1">
      <c r="A539" s="41"/>
      <c r="B539" s="17"/>
      <c r="C539" s="51"/>
      <c r="D539" s="139"/>
      <c r="E539" s="18"/>
      <c r="F539" s="28"/>
      <c r="G539" s="118"/>
      <c r="H539" s="35"/>
      <c r="I539" s="127"/>
      <c r="J539" s="122"/>
      <c r="K539" s="19"/>
      <c r="L539" s="19"/>
      <c r="M539" s="16"/>
    </row>
    <row r="540" spans="1:13" s="20" customFormat="1" ht="24.75" customHeight="1">
      <c r="A540" s="41"/>
      <c r="B540" s="17"/>
      <c r="C540" s="51"/>
      <c r="D540" s="139"/>
      <c r="E540" s="18"/>
      <c r="F540" s="28"/>
      <c r="G540" s="118"/>
      <c r="H540" s="35"/>
      <c r="I540" s="127"/>
      <c r="J540" s="122"/>
      <c r="K540" s="19"/>
      <c r="L540" s="19"/>
      <c r="M540" s="16"/>
    </row>
    <row r="541" spans="1:13" s="20" customFormat="1" ht="24.75" customHeight="1">
      <c r="A541" s="41"/>
      <c r="B541" s="17"/>
      <c r="C541" s="51"/>
      <c r="D541" s="139"/>
      <c r="E541" s="18"/>
      <c r="F541" s="28"/>
      <c r="G541" s="118"/>
      <c r="H541" s="35"/>
      <c r="I541" s="127"/>
      <c r="J541" s="122"/>
      <c r="K541" s="19"/>
      <c r="L541" s="19"/>
      <c r="M541" s="16"/>
    </row>
    <row r="542" spans="1:13" s="20" customFormat="1" ht="24.75" customHeight="1">
      <c r="A542" s="41"/>
      <c r="B542" s="17"/>
      <c r="C542" s="51"/>
      <c r="D542" s="139"/>
      <c r="E542" s="18"/>
      <c r="F542" s="28"/>
      <c r="G542" s="118"/>
      <c r="H542" s="35"/>
      <c r="I542" s="127"/>
      <c r="J542" s="122"/>
      <c r="K542" s="19"/>
      <c r="L542" s="19"/>
      <c r="M542" s="16"/>
    </row>
    <row r="543" spans="1:13" s="20" customFormat="1" ht="24.75" customHeight="1">
      <c r="A543" s="41"/>
      <c r="B543" s="17"/>
      <c r="C543" s="51"/>
      <c r="D543" s="139"/>
      <c r="E543" s="18"/>
      <c r="F543" s="28"/>
      <c r="G543" s="118"/>
      <c r="H543" s="35"/>
      <c r="I543" s="127"/>
      <c r="J543" s="122"/>
      <c r="K543" s="19"/>
      <c r="L543" s="19"/>
      <c r="M543" s="16"/>
    </row>
    <row r="544" spans="1:13" s="20" customFormat="1" ht="24.75" customHeight="1">
      <c r="A544" s="41"/>
      <c r="B544" s="17"/>
      <c r="C544" s="51"/>
      <c r="D544" s="139"/>
      <c r="E544" s="18"/>
      <c r="F544" s="28"/>
      <c r="G544" s="118"/>
      <c r="H544" s="35"/>
      <c r="I544" s="127"/>
      <c r="J544" s="122"/>
      <c r="K544" s="19"/>
      <c r="L544" s="19"/>
      <c r="M544" s="16"/>
    </row>
    <row r="545" spans="1:13" s="20" customFormat="1" ht="24.75" customHeight="1">
      <c r="A545" s="41"/>
      <c r="B545" s="17"/>
      <c r="C545" s="51"/>
      <c r="D545" s="139"/>
      <c r="E545" s="18"/>
      <c r="F545" s="28"/>
      <c r="G545" s="118"/>
      <c r="H545" s="35"/>
      <c r="I545" s="127"/>
      <c r="J545" s="122"/>
      <c r="K545" s="19"/>
      <c r="L545" s="19"/>
      <c r="M545" s="16"/>
    </row>
    <row r="546" spans="1:13" s="20" customFormat="1" ht="24.75" customHeight="1">
      <c r="A546" s="41"/>
      <c r="B546" s="17"/>
      <c r="C546" s="51"/>
      <c r="D546" s="139"/>
      <c r="E546" s="18"/>
      <c r="F546" s="28"/>
      <c r="G546" s="118"/>
      <c r="H546" s="35"/>
      <c r="I546" s="127"/>
      <c r="J546" s="122"/>
      <c r="K546" s="19"/>
      <c r="L546" s="19"/>
      <c r="M546" s="16"/>
    </row>
    <row r="547" spans="1:13" s="20" customFormat="1" ht="24.75" customHeight="1">
      <c r="A547" s="41"/>
      <c r="B547" s="17"/>
      <c r="C547" s="51"/>
      <c r="D547" s="139"/>
      <c r="E547" s="18"/>
      <c r="F547" s="28"/>
      <c r="G547" s="118"/>
      <c r="H547" s="35"/>
      <c r="I547" s="127"/>
      <c r="J547" s="122"/>
      <c r="K547" s="19"/>
      <c r="L547" s="19"/>
      <c r="M547" s="16"/>
    </row>
    <row r="548" spans="1:13" s="20" customFormat="1" ht="24.75" customHeight="1">
      <c r="A548" s="41"/>
      <c r="B548" s="17"/>
      <c r="C548" s="51"/>
      <c r="D548" s="139"/>
      <c r="E548" s="18"/>
      <c r="F548" s="28"/>
      <c r="G548" s="118"/>
      <c r="H548" s="35"/>
      <c r="I548" s="127"/>
      <c r="J548" s="122"/>
      <c r="K548" s="19"/>
      <c r="L548" s="19"/>
      <c r="M548" s="16"/>
    </row>
    <row r="549" spans="1:13" s="20" customFormat="1" ht="24.75" customHeight="1">
      <c r="A549" s="41"/>
      <c r="B549" s="17"/>
      <c r="C549" s="51"/>
      <c r="D549" s="139"/>
      <c r="E549" s="18"/>
      <c r="F549" s="28"/>
      <c r="G549" s="118"/>
      <c r="H549" s="35"/>
      <c r="I549" s="127"/>
      <c r="J549" s="122"/>
      <c r="K549" s="19"/>
      <c r="L549" s="19"/>
      <c r="M549" s="16"/>
    </row>
    <row r="550" spans="1:13" s="20" customFormat="1" ht="24.75" customHeight="1">
      <c r="A550" s="41"/>
      <c r="B550" s="17"/>
      <c r="C550" s="51"/>
      <c r="D550" s="139"/>
      <c r="E550" s="18"/>
      <c r="F550" s="28"/>
      <c r="G550" s="118"/>
      <c r="H550" s="35"/>
      <c r="I550" s="127"/>
      <c r="J550" s="122"/>
      <c r="K550" s="19"/>
      <c r="L550" s="19"/>
      <c r="M550" s="16"/>
    </row>
    <row r="551" spans="1:13" s="20" customFormat="1" ht="24.75" customHeight="1">
      <c r="A551" s="41"/>
      <c r="B551" s="17"/>
      <c r="C551" s="51"/>
      <c r="D551" s="139"/>
      <c r="E551" s="18"/>
      <c r="F551" s="28"/>
      <c r="G551" s="118"/>
      <c r="H551" s="35"/>
      <c r="I551" s="127"/>
      <c r="J551" s="122"/>
      <c r="K551" s="19"/>
      <c r="L551" s="19"/>
      <c r="M551" s="16"/>
    </row>
    <row r="552" spans="1:13" s="20" customFormat="1" ht="24.75" customHeight="1">
      <c r="A552" s="41"/>
      <c r="B552" s="17"/>
      <c r="C552" s="51"/>
      <c r="D552" s="139"/>
      <c r="E552" s="18"/>
      <c r="F552" s="28"/>
      <c r="G552" s="118"/>
      <c r="H552" s="35"/>
      <c r="I552" s="127"/>
      <c r="J552" s="122"/>
      <c r="K552" s="19"/>
      <c r="L552" s="19"/>
      <c r="M552" s="16"/>
    </row>
    <row r="553" spans="1:13" s="20" customFormat="1" ht="24.75" customHeight="1">
      <c r="A553" s="41"/>
      <c r="B553" s="17"/>
      <c r="C553" s="51"/>
      <c r="D553" s="139"/>
      <c r="E553" s="18"/>
      <c r="F553" s="28"/>
      <c r="G553" s="118"/>
      <c r="H553" s="35"/>
      <c r="I553" s="127"/>
      <c r="J553" s="122"/>
      <c r="K553" s="19"/>
      <c r="L553" s="19"/>
      <c r="M553" s="16"/>
    </row>
    <row r="554" spans="1:13" s="20" customFormat="1" ht="24.75" customHeight="1">
      <c r="A554" s="41"/>
      <c r="B554" s="17"/>
      <c r="C554" s="51"/>
      <c r="D554" s="139"/>
      <c r="E554" s="18"/>
      <c r="F554" s="28"/>
      <c r="G554" s="118"/>
      <c r="H554" s="35"/>
      <c r="I554" s="127"/>
      <c r="J554" s="122"/>
      <c r="K554" s="19"/>
      <c r="L554" s="19"/>
      <c r="M554" s="16"/>
    </row>
    <row r="555" spans="1:13" s="20" customFormat="1" ht="24.75" customHeight="1">
      <c r="A555" s="41"/>
      <c r="B555" s="17"/>
      <c r="C555" s="51"/>
      <c r="D555" s="139"/>
      <c r="E555" s="18"/>
      <c r="F555" s="28"/>
      <c r="G555" s="118"/>
      <c r="H555" s="35"/>
      <c r="I555" s="127"/>
      <c r="J555" s="122"/>
      <c r="K555" s="19"/>
      <c r="L555" s="19"/>
      <c r="M555" s="16"/>
    </row>
    <row r="556" spans="1:13" s="20" customFormat="1" ht="24.75" customHeight="1">
      <c r="A556" s="41"/>
      <c r="B556" s="17"/>
      <c r="C556" s="51"/>
      <c r="D556" s="139"/>
      <c r="E556" s="18"/>
      <c r="F556" s="28"/>
      <c r="G556" s="118"/>
      <c r="H556" s="35"/>
      <c r="I556" s="127"/>
      <c r="J556" s="122"/>
      <c r="K556" s="19"/>
      <c r="L556" s="19"/>
      <c r="M556" s="16"/>
    </row>
    <row r="557" spans="1:13" s="20" customFormat="1" ht="24.75" customHeight="1">
      <c r="A557" s="41"/>
      <c r="B557" s="17"/>
      <c r="C557" s="51"/>
      <c r="D557" s="139"/>
      <c r="E557" s="18"/>
      <c r="F557" s="28"/>
      <c r="G557" s="118"/>
      <c r="H557" s="35"/>
      <c r="I557" s="127"/>
      <c r="J557" s="122"/>
      <c r="K557" s="19"/>
      <c r="L557" s="19"/>
      <c r="M557" s="16"/>
    </row>
    <row r="558" spans="1:13" s="20" customFormat="1" ht="24.75" customHeight="1">
      <c r="A558" s="41"/>
      <c r="B558" s="17"/>
      <c r="C558" s="51"/>
      <c r="D558" s="139"/>
      <c r="E558" s="18"/>
      <c r="F558" s="28"/>
      <c r="G558" s="118"/>
      <c r="H558" s="35"/>
      <c r="I558" s="127"/>
      <c r="J558" s="122"/>
      <c r="K558" s="19"/>
      <c r="L558" s="19"/>
      <c r="M558" s="16"/>
    </row>
    <row r="559" spans="1:13" s="20" customFormat="1" ht="24.75" customHeight="1">
      <c r="A559" s="41"/>
      <c r="B559" s="17"/>
      <c r="C559" s="51"/>
      <c r="D559" s="139"/>
      <c r="E559" s="18"/>
      <c r="F559" s="28"/>
      <c r="G559" s="118"/>
      <c r="H559" s="35"/>
      <c r="I559" s="127"/>
      <c r="J559" s="122"/>
      <c r="K559" s="19"/>
      <c r="L559" s="19"/>
      <c r="M559" s="16"/>
    </row>
    <row r="560" spans="1:13" s="20" customFormat="1" ht="24.75" customHeight="1">
      <c r="A560" s="41"/>
      <c r="B560" s="17"/>
      <c r="C560" s="51"/>
      <c r="D560" s="139"/>
      <c r="E560" s="18"/>
      <c r="F560" s="28"/>
      <c r="G560" s="118"/>
      <c r="H560" s="35"/>
      <c r="I560" s="127"/>
      <c r="J560" s="122"/>
      <c r="K560" s="19"/>
      <c r="L560" s="19"/>
      <c r="M560" s="16"/>
    </row>
    <row r="561" spans="1:13" s="20" customFormat="1" ht="24.75" customHeight="1">
      <c r="A561" s="41"/>
      <c r="B561" s="17"/>
      <c r="C561" s="51"/>
      <c r="D561" s="139"/>
      <c r="E561" s="18"/>
      <c r="F561" s="28"/>
      <c r="G561" s="118"/>
      <c r="H561" s="35"/>
      <c r="I561" s="127"/>
      <c r="J561" s="122"/>
      <c r="K561" s="19"/>
      <c r="L561" s="19"/>
      <c r="M561" s="16"/>
    </row>
    <row r="562" spans="1:13" s="20" customFormat="1" ht="24.75" customHeight="1">
      <c r="A562" s="41"/>
      <c r="B562" s="17"/>
      <c r="C562" s="51"/>
      <c r="D562" s="139"/>
      <c r="E562" s="18"/>
      <c r="F562" s="28"/>
      <c r="G562" s="118"/>
      <c r="H562" s="35"/>
      <c r="I562" s="127"/>
      <c r="J562" s="122"/>
      <c r="K562" s="19"/>
      <c r="L562" s="19"/>
      <c r="M562" s="16"/>
    </row>
    <row r="563" spans="1:13" s="20" customFormat="1" ht="24.75" customHeight="1">
      <c r="A563" s="41"/>
      <c r="B563" s="17"/>
      <c r="C563" s="51"/>
      <c r="D563" s="139"/>
      <c r="E563" s="18"/>
      <c r="F563" s="28"/>
      <c r="G563" s="118"/>
      <c r="H563" s="35"/>
      <c r="I563" s="127"/>
      <c r="J563" s="122"/>
      <c r="K563" s="19"/>
      <c r="L563" s="19"/>
      <c r="M563" s="16"/>
    </row>
    <row r="564" spans="1:13" s="20" customFormat="1" ht="24.75" customHeight="1">
      <c r="A564" s="41"/>
      <c r="B564" s="17"/>
      <c r="C564" s="51"/>
      <c r="D564" s="139"/>
      <c r="E564" s="18"/>
      <c r="F564" s="28"/>
      <c r="G564" s="118"/>
      <c r="H564" s="35"/>
      <c r="I564" s="127"/>
      <c r="J564" s="122"/>
      <c r="K564" s="19"/>
      <c r="L564" s="19"/>
      <c r="M564" s="16"/>
    </row>
    <row r="565" spans="1:13" s="20" customFormat="1" ht="24.75" customHeight="1">
      <c r="A565" s="41"/>
      <c r="B565" s="17"/>
      <c r="C565" s="51"/>
      <c r="D565" s="139"/>
      <c r="E565" s="18"/>
      <c r="F565" s="28"/>
      <c r="G565" s="118"/>
      <c r="H565" s="35"/>
      <c r="I565" s="127"/>
      <c r="J565" s="122"/>
      <c r="K565" s="19"/>
      <c r="L565" s="19"/>
      <c r="M565" s="16"/>
    </row>
    <row r="566" spans="1:13" s="20" customFormat="1" ht="24.75" customHeight="1">
      <c r="A566" s="41"/>
      <c r="B566" s="17"/>
      <c r="C566" s="51"/>
      <c r="D566" s="139"/>
      <c r="E566" s="18"/>
      <c r="F566" s="28"/>
      <c r="G566" s="118"/>
      <c r="H566" s="35"/>
      <c r="I566" s="127"/>
      <c r="J566" s="122"/>
      <c r="K566" s="19"/>
      <c r="L566" s="19"/>
      <c r="M566" s="16"/>
    </row>
    <row r="567" spans="1:13" s="20" customFormat="1" ht="24.75" customHeight="1">
      <c r="A567" s="41"/>
      <c r="B567" s="17"/>
      <c r="C567" s="51"/>
      <c r="D567" s="139"/>
      <c r="E567" s="18"/>
      <c r="F567" s="28"/>
      <c r="G567" s="118"/>
      <c r="H567" s="35"/>
      <c r="I567" s="127"/>
      <c r="J567" s="122"/>
      <c r="K567" s="19"/>
      <c r="L567" s="19"/>
      <c r="M567" s="16"/>
    </row>
    <row r="568" spans="1:13" s="20" customFormat="1" ht="24.75" customHeight="1">
      <c r="A568" s="41"/>
      <c r="B568" s="17"/>
      <c r="C568" s="51"/>
      <c r="D568" s="139"/>
      <c r="E568" s="18"/>
      <c r="F568" s="28"/>
      <c r="G568" s="118"/>
      <c r="H568" s="35"/>
      <c r="I568" s="127"/>
      <c r="J568" s="122"/>
      <c r="K568" s="19"/>
      <c r="L568" s="19"/>
      <c r="M568" s="16"/>
    </row>
    <row r="569" spans="1:13" s="20" customFormat="1" ht="24.75" customHeight="1">
      <c r="A569" s="41"/>
      <c r="B569" s="17"/>
      <c r="C569" s="51"/>
      <c r="D569" s="139"/>
      <c r="E569" s="18"/>
      <c r="F569" s="28"/>
      <c r="G569" s="118"/>
      <c r="H569" s="35"/>
      <c r="I569" s="127"/>
      <c r="J569" s="122"/>
      <c r="K569" s="19"/>
      <c r="L569" s="19"/>
      <c r="M569" s="16"/>
    </row>
    <row r="570" spans="1:13" s="20" customFormat="1" ht="24.75" customHeight="1">
      <c r="A570" s="41"/>
      <c r="B570" s="17"/>
      <c r="C570" s="51"/>
      <c r="D570" s="139"/>
      <c r="E570" s="18"/>
      <c r="F570" s="28"/>
      <c r="G570" s="118"/>
      <c r="H570" s="35"/>
      <c r="I570" s="127"/>
      <c r="J570" s="122"/>
      <c r="K570" s="19"/>
      <c r="L570" s="19"/>
      <c r="M570" s="16"/>
    </row>
    <row r="571" spans="1:13" s="20" customFormat="1" ht="24.75" customHeight="1">
      <c r="A571" s="41"/>
      <c r="B571" s="17"/>
      <c r="C571" s="51"/>
      <c r="D571" s="139"/>
      <c r="E571" s="18"/>
      <c r="F571" s="28"/>
      <c r="G571" s="118"/>
      <c r="H571" s="35"/>
      <c r="I571" s="127"/>
      <c r="J571" s="122"/>
      <c r="K571" s="19"/>
      <c r="L571" s="19"/>
      <c r="M571" s="16"/>
    </row>
    <row r="572" spans="1:13" s="20" customFormat="1" ht="24.75" customHeight="1">
      <c r="A572" s="41"/>
      <c r="B572" s="17"/>
      <c r="C572" s="51"/>
      <c r="D572" s="139"/>
      <c r="E572" s="18"/>
      <c r="F572" s="28"/>
      <c r="G572" s="118"/>
      <c r="H572" s="35"/>
      <c r="I572" s="127"/>
      <c r="J572" s="122"/>
      <c r="K572" s="19"/>
      <c r="L572" s="19"/>
      <c r="M572" s="16"/>
    </row>
    <row r="573" spans="1:13" s="20" customFormat="1" ht="24.75" customHeight="1">
      <c r="A573" s="41"/>
      <c r="B573" s="17"/>
      <c r="C573" s="51"/>
      <c r="D573" s="139"/>
      <c r="E573" s="18"/>
      <c r="F573" s="28"/>
      <c r="G573" s="118"/>
      <c r="H573" s="35"/>
      <c r="I573" s="127"/>
      <c r="J573" s="122"/>
      <c r="K573" s="19"/>
      <c r="L573" s="19"/>
      <c r="M573" s="16"/>
    </row>
    <row r="574" spans="1:13" s="20" customFormat="1" ht="24.75" customHeight="1">
      <c r="A574" s="41"/>
      <c r="B574" s="17"/>
      <c r="C574" s="51"/>
      <c r="D574" s="139"/>
      <c r="E574" s="18"/>
      <c r="F574" s="28"/>
      <c r="G574" s="118"/>
      <c r="H574" s="35"/>
      <c r="I574" s="127"/>
      <c r="J574" s="122"/>
      <c r="K574" s="19"/>
      <c r="L574" s="19"/>
      <c r="M574" s="16"/>
    </row>
    <row r="575" spans="1:13" s="20" customFormat="1" ht="24.75" customHeight="1">
      <c r="A575" s="41"/>
      <c r="B575" s="17"/>
      <c r="C575" s="51"/>
      <c r="D575" s="139"/>
      <c r="E575" s="18"/>
      <c r="F575" s="28"/>
      <c r="G575" s="118"/>
      <c r="H575" s="35"/>
      <c r="I575" s="127"/>
      <c r="J575" s="122"/>
      <c r="K575" s="19"/>
      <c r="L575" s="19"/>
      <c r="M575" s="16"/>
    </row>
    <row r="576" spans="1:13" s="20" customFormat="1" ht="24.75" customHeight="1">
      <c r="A576" s="41"/>
      <c r="B576" s="17"/>
      <c r="C576" s="51"/>
      <c r="D576" s="139"/>
      <c r="E576" s="18"/>
      <c r="F576" s="28"/>
      <c r="G576" s="118"/>
      <c r="H576" s="35"/>
      <c r="I576" s="127"/>
      <c r="J576" s="122"/>
      <c r="K576" s="19"/>
      <c r="L576" s="19"/>
      <c r="M576" s="16"/>
    </row>
    <row r="577" spans="1:13" s="20" customFormat="1" ht="24.75" customHeight="1">
      <c r="A577" s="41"/>
      <c r="B577" s="17"/>
      <c r="C577" s="51"/>
      <c r="D577" s="139"/>
      <c r="E577" s="18"/>
      <c r="F577" s="28"/>
      <c r="G577" s="118"/>
      <c r="H577" s="35"/>
      <c r="I577" s="127"/>
      <c r="J577" s="122"/>
      <c r="K577" s="19"/>
      <c r="L577" s="19"/>
      <c r="M577" s="16"/>
    </row>
    <row r="578" spans="1:13" s="20" customFormat="1" ht="24.75" customHeight="1">
      <c r="A578" s="41"/>
      <c r="B578" s="17"/>
      <c r="C578" s="51"/>
      <c r="D578" s="139"/>
      <c r="E578" s="18"/>
      <c r="F578" s="28"/>
      <c r="G578" s="118"/>
      <c r="H578" s="35"/>
      <c r="I578" s="127"/>
      <c r="J578" s="122"/>
      <c r="K578" s="19"/>
      <c r="L578" s="19"/>
      <c r="M578" s="16"/>
    </row>
    <row r="579" spans="1:13" s="20" customFormat="1" ht="24.75" customHeight="1">
      <c r="A579" s="41"/>
      <c r="B579" s="17"/>
      <c r="C579" s="51"/>
      <c r="D579" s="139"/>
      <c r="E579" s="18"/>
      <c r="F579" s="28"/>
      <c r="G579" s="118"/>
      <c r="H579" s="35"/>
      <c r="I579" s="127"/>
      <c r="J579" s="122"/>
      <c r="K579" s="19"/>
      <c r="L579" s="19"/>
      <c r="M579" s="16"/>
    </row>
    <row r="580" spans="1:13" s="20" customFormat="1" ht="24.75" customHeight="1">
      <c r="A580" s="41"/>
      <c r="B580" s="17"/>
      <c r="C580" s="51"/>
      <c r="D580" s="139"/>
      <c r="E580" s="18"/>
      <c r="F580" s="28"/>
      <c r="G580" s="118"/>
      <c r="H580" s="35"/>
      <c r="I580" s="127"/>
      <c r="J580" s="122"/>
      <c r="K580" s="19"/>
      <c r="L580" s="19"/>
      <c r="M580" s="16"/>
    </row>
    <row r="581" spans="1:13" s="20" customFormat="1" ht="24.75" customHeight="1">
      <c r="A581" s="41"/>
      <c r="B581" s="17"/>
      <c r="C581" s="51"/>
      <c r="D581" s="139"/>
      <c r="E581" s="18"/>
      <c r="F581" s="28"/>
      <c r="G581" s="118"/>
      <c r="H581" s="35"/>
      <c r="I581" s="127"/>
      <c r="J581" s="122"/>
      <c r="K581" s="19"/>
      <c r="L581" s="19"/>
      <c r="M581" s="16"/>
    </row>
    <row r="582" spans="1:13" s="20" customFormat="1" ht="24.75" customHeight="1">
      <c r="A582" s="41"/>
      <c r="B582" s="17"/>
      <c r="C582" s="51"/>
      <c r="D582" s="139"/>
      <c r="E582" s="18"/>
      <c r="F582" s="28"/>
      <c r="G582" s="118"/>
      <c r="H582" s="35"/>
      <c r="I582" s="127"/>
      <c r="J582" s="122"/>
      <c r="K582" s="19"/>
      <c r="L582" s="19"/>
      <c r="M582" s="16"/>
    </row>
    <row r="583" spans="1:13" s="20" customFormat="1" ht="24.75" customHeight="1">
      <c r="A583" s="41"/>
      <c r="B583" s="17"/>
      <c r="C583" s="51"/>
      <c r="D583" s="139"/>
      <c r="E583" s="18"/>
      <c r="F583" s="28"/>
      <c r="G583" s="118"/>
      <c r="H583" s="35"/>
      <c r="I583" s="127"/>
      <c r="J583" s="122"/>
      <c r="K583" s="19"/>
      <c r="L583" s="19"/>
      <c r="M583" s="16"/>
    </row>
    <row r="584" spans="1:13" s="20" customFormat="1" ht="24.75" customHeight="1">
      <c r="A584" s="41"/>
      <c r="B584" s="17"/>
      <c r="C584" s="51"/>
      <c r="D584" s="139"/>
      <c r="E584" s="18"/>
      <c r="F584" s="28"/>
      <c r="G584" s="118"/>
      <c r="H584" s="35"/>
      <c r="I584" s="127"/>
      <c r="J584" s="122"/>
      <c r="K584" s="19"/>
      <c r="L584" s="19"/>
      <c r="M584" s="16"/>
    </row>
    <row r="585" spans="1:13" s="20" customFormat="1" ht="24.75" customHeight="1">
      <c r="A585" s="41"/>
      <c r="B585" s="17"/>
      <c r="C585" s="51"/>
      <c r="D585" s="139"/>
      <c r="E585" s="18"/>
      <c r="F585" s="28"/>
      <c r="G585" s="118"/>
      <c r="H585" s="35"/>
      <c r="I585" s="127"/>
      <c r="J585" s="122"/>
      <c r="K585" s="19"/>
      <c r="L585" s="19"/>
      <c r="M585" s="16"/>
    </row>
    <row r="586" spans="1:13" s="20" customFormat="1" ht="24.75" customHeight="1">
      <c r="A586" s="41"/>
      <c r="B586" s="17"/>
      <c r="C586" s="51"/>
      <c r="D586" s="139"/>
      <c r="E586" s="18"/>
      <c r="F586" s="28"/>
      <c r="G586" s="118"/>
      <c r="H586" s="35"/>
      <c r="I586" s="127"/>
      <c r="J586" s="122"/>
      <c r="K586" s="19"/>
      <c r="L586" s="19"/>
      <c r="M586" s="16"/>
    </row>
    <row r="587" spans="1:13" s="20" customFormat="1" ht="24.75" customHeight="1">
      <c r="A587" s="41"/>
      <c r="B587" s="17"/>
      <c r="C587" s="51"/>
      <c r="D587" s="139"/>
      <c r="E587" s="18"/>
      <c r="F587" s="28"/>
      <c r="G587" s="118"/>
      <c r="H587" s="35"/>
      <c r="I587" s="127"/>
      <c r="J587" s="122"/>
      <c r="K587" s="19"/>
      <c r="L587" s="19"/>
      <c r="M587" s="16"/>
    </row>
    <row r="588" spans="1:13" s="20" customFormat="1" ht="24.75" customHeight="1">
      <c r="A588" s="41"/>
      <c r="B588" s="17"/>
      <c r="C588" s="51"/>
      <c r="D588" s="139"/>
      <c r="E588" s="18"/>
      <c r="F588" s="28"/>
      <c r="G588" s="118"/>
      <c r="H588" s="35"/>
      <c r="I588" s="127"/>
      <c r="J588" s="122"/>
      <c r="K588" s="19"/>
      <c r="L588" s="19"/>
      <c r="M588" s="16"/>
    </row>
    <row r="589" spans="1:13" s="20" customFormat="1" ht="24.75" customHeight="1">
      <c r="A589" s="41"/>
      <c r="B589" s="17"/>
      <c r="C589" s="51"/>
      <c r="D589" s="139"/>
      <c r="E589" s="18"/>
      <c r="F589" s="28"/>
      <c r="G589" s="118"/>
      <c r="H589" s="35"/>
      <c r="I589" s="127"/>
      <c r="J589" s="122"/>
      <c r="K589" s="19"/>
      <c r="L589" s="19"/>
      <c r="M589" s="16"/>
    </row>
    <row r="590" spans="1:13" s="20" customFormat="1" ht="24.75" customHeight="1">
      <c r="A590" s="41"/>
      <c r="B590" s="17"/>
      <c r="C590" s="51"/>
      <c r="D590" s="139"/>
      <c r="E590" s="18"/>
      <c r="F590" s="28"/>
      <c r="G590" s="118"/>
      <c r="H590" s="35"/>
      <c r="I590" s="127"/>
      <c r="J590" s="122"/>
      <c r="K590" s="19"/>
      <c r="L590" s="19"/>
      <c r="M590" s="16"/>
    </row>
    <row r="591" spans="1:13" s="20" customFormat="1" ht="24.75" customHeight="1">
      <c r="A591" s="41"/>
      <c r="B591" s="17"/>
      <c r="C591" s="51"/>
      <c r="D591" s="139"/>
      <c r="E591" s="18"/>
      <c r="F591" s="28"/>
      <c r="G591" s="118"/>
      <c r="H591" s="35"/>
      <c r="I591" s="127"/>
      <c r="J591" s="122"/>
      <c r="K591" s="19"/>
      <c r="L591" s="19"/>
      <c r="M591" s="16"/>
    </row>
    <row r="592" spans="1:13" s="20" customFormat="1" ht="24.75" customHeight="1">
      <c r="A592" s="41"/>
      <c r="B592" s="17"/>
      <c r="C592" s="51"/>
      <c r="D592" s="139"/>
      <c r="E592" s="18"/>
      <c r="F592" s="28"/>
      <c r="G592" s="118"/>
      <c r="H592" s="35"/>
      <c r="I592" s="127"/>
      <c r="J592" s="122"/>
      <c r="K592" s="19"/>
      <c r="L592" s="19"/>
      <c r="M592" s="16"/>
    </row>
    <row r="593" spans="1:13" s="20" customFormat="1" ht="24.75" customHeight="1">
      <c r="A593" s="41"/>
      <c r="B593" s="17"/>
      <c r="C593" s="51"/>
      <c r="D593" s="139"/>
      <c r="E593" s="18"/>
      <c r="F593" s="28"/>
      <c r="G593" s="118"/>
      <c r="H593" s="35"/>
      <c r="I593" s="127"/>
      <c r="J593" s="122"/>
      <c r="K593" s="19"/>
      <c r="L593" s="19"/>
      <c r="M593" s="16"/>
    </row>
    <row r="594" spans="1:13" s="20" customFormat="1" ht="24.75" customHeight="1">
      <c r="A594" s="41"/>
      <c r="B594" s="17"/>
      <c r="C594" s="51"/>
      <c r="D594" s="139"/>
      <c r="E594" s="18"/>
      <c r="F594" s="28"/>
      <c r="G594" s="118"/>
      <c r="H594" s="35"/>
      <c r="I594" s="127"/>
      <c r="J594" s="122"/>
      <c r="K594" s="19"/>
      <c r="L594" s="19"/>
      <c r="M594" s="16"/>
    </row>
    <row r="595" spans="1:13" s="20" customFormat="1" ht="24.75" customHeight="1">
      <c r="A595" s="41"/>
      <c r="B595" s="17"/>
      <c r="C595" s="51"/>
      <c r="D595" s="139"/>
      <c r="E595" s="18"/>
      <c r="F595" s="28"/>
      <c r="G595" s="118"/>
      <c r="H595" s="35"/>
      <c r="I595" s="127"/>
      <c r="J595" s="122"/>
      <c r="K595" s="19"/>
      <c r="L595" s="19"/>
      <c r="M595" s="16"/>
    </row>
    <row r="596" spans="1:13" s="20" customFormat="1" ht="24.75" customHeight="1">
      <c r="A596" s="41"/>
      <c r="B596" s="17"/>
      <c r="C596" s="51"/>
      <c r="D596" s="139"/>
      <c r="E596" s="18"/>
      <c r="F596" s="28"/>
      <c r="G596" s="118"/>
      <c r="H596" s="35"/>
      <c r="I596" s="127"/>
      <c r="J596" s="122"/>
      <c r="K596" s="19"/>
      <c r="L596" s="19"/>
      <c r="M596" s="16"/>
    </row>
    <row r="597" spans="1:13" s="20" customFormat="1" ht="24.75" customHeight="1">
      <c r="A597" s="41"/>
      <c r="B597" s="17"/>
      <c r="C597" s="51"/>
      <c r="D597" s="139"/>
      <c r="E597" s="18"/>
      <c r="F597" s="28"/>
      <c r="G597" s="118"/>
      <c r="H597" s="35"/>
      <c r="I597" s="127"/>
      <c r="J597" s="122"/>
      <c r="K597" s="19"/>
      <c r="L597" s="19"/>
      <c r="M597" s="16"/>
    </row>
    <row r="598" spans="1:13" s="20" customFormat="1" ht="24.75" customHeight="1">
      <c r="A598" s="41"/>
      <c r="B598" s="17"/>
      <c r="C598" s="51"/>
      <c r="D598" s="139"/>
      <c r="E598" s="18"/>
      <c r="F598" s="28"/>
      <c r="G598" s="118"/>
      <c r="H598" s="35"/>
      <c r="I598" s="127"/>
      <c r="J598" s="122"/>
      <c r="K598" s="19"/>
      <c r="L598" s="19"/>
      <c r="M598" s="16"/>
    </row>
    <row r="599" spans="1:13" s="20" customFormat="1" ht="24.75" customHeight="1">
      <c r="A599" s="41"/>
      <c r="B599" s="17"/>
      <c r="C599" s="51"/>
      <c r="D599" s="139"/>
      <c r="E599" s="18"/>
      <c r="F599" s="28"/>
      <c r="G599" s="118"/>
      <c r="H599" s="35"/>
      <c r="I599" s="127"/>
      <c r="J599" s="122"/>
      <c r="K599" s="19"/>
      <c r="L599" s="19"/>
      <c r="M599" s="16"/>
    </row>
    <row r="600" spans="1:13" s="20" customFormat="1" ht="24.75" customHeight="1">
      <c r="A600" s="41"/>
      <c r="B600" s="17"/>
      <c r="C600" s="51"/>
      <c r="D600" s="139"/>
      <c r="E600" s="18"/>
      <c r="F600" s="28"/>
      <c r="G600" s="118"/>
      <c r="H600" s="35"/>
      <c r="I600" s="127"/>
      <c r="J600" s="122"/>
      <c r="K600" s="19"/>
      <c r="L600" s="19"/>
      <c r="M600" s="16"/>
    </row>
    <row r="601" spans="1:13" s="20" customFormat="1" ht="24.75" customHeight="1">
      <c r="A601" s="41"/>
      <c r="B601" s="17"/>
      <c r="C601" s="51"/>
      <c r="D601" s="139"/>
      <c r="E601" s="18"/>
      <c r="F601" s="28"/>
      <c r="G601" s="118"/>
      <c r="H601" s="35"/>
      <c r="I601" s="127"/>
      <c r="J601" s="122"/>
      <c r="K601" s="19"/>
      <c r="L601" s="19"/>
      <c r="M601" s="16"/>
    </row>
    <row r="602" spans="1:13" s="20" customFormat="1" ht="24.75" customHeight="1">
      <c r="A602" s="41"/>
      <c r="B602" s="17"/>
      <c r="C602" s="51"/>
      <c r="D602" s="139"/>
      <c r="E602" s="18"/>
      <c r="F602" s="28"/>
      <c r="G602" s="118"/>
      <c r="H602" s="35"/>
      <c r="I602" s="127"/>
      <c r="J602" s="122"/>
      <c r="K602" s="19"/>
      <c r="L602" s="19"/>
      <c r="M602" s="16"/>
    </row>
    <row r="603" spans="1:13" s="20" customFormat="1" ht="24.75" customHeight="1">
      <c r="A603" s="41"/>
      <c r="B603" s="17"/>
      <c r="C603" s="51"/>
      <c r="D603" s="139"/>
      <c r="E603" s="18"/>
      <c r="F603" s="28"/>
      <c r="G603" s="118"/>
      <c r="H603" s="35"/>
      <c r="I603" s="127"/>
      <c r="J603" s="122"/>
      <c r="K603" s="19"/>
      <c r="L603" s="19"/>
      <c r="M603" s="16"/>
    </row>
    <row r="604" spans="1:13" s="20" customFormat="1" ht="24.75" customHeight="1">
      <c r="A604" s="41"/>
      <c r="B604" s="17"/>
      <c r="C604" s="51"/>
      <c r="D604" s="139"/>
      <c r="E604" s="18"/>
      <c r="F604" s="28"/>
      <c r="G604" s="118"/>
      <c r="H604" s="35"/>
      <c r="I604" s="127"/>
      <c r="J604" s="122"/>
      <c r="K604" s="19"/>
      <c r="L604" s="19"/>
      <c r="M604" s="16"/>
    </row>
    <row r="605" spans="1:13" s="20" customFormat="1" ht="24.75" customHeight="1">
      <c r="A605" s="41"/>
      <c r="B605" s="17"/>
      <c r="C605" s="51"/>
      <c r="D605" s="139"/>
      <c r="E605" s="18"/>
      <c r="F605" s="28"/>
      <c r="G605" s="118"/>
      <c r="H605" s="35"/>
      <c r="I605" s="127"/>
      <c r="J605" s="122"/>
      <c r="K605" s="19"/>
      <c r="L605" s="19"/>
      <c r="M605" s="16"/>
    </row>
    <row r="606" spans="1:13" s="20" customFormat="1" ht="24.75" customHeight="1">
      <c r="A606" s="41"/>
      <c r="B606" s="17"/>
      <c r="C606" s="51"/>
      <c r="D606" s="139"/>
      <c r="E606" s="18"/>
      <c r="F606" s="28"/>
      <c r="G606" s="118"/>
      <c r="H606" s="35"/>
      <c r="I606" s="127"/>
      <c r="J606" s="122"/>
      <c r="K606" s="19"/>
      <c r="L606" s="19"/>
      <c r="M606" s="16"/>
    </row>
    <row r="607" spans="1:13" s="20" customFormat="1" ht="24.75" customHeight="1">
      <c r="A607" s="41"/>
      <c r="B607" s="17"/>
      <c r="C607" s="51"/>
      <c r="D607" s="139"/>
      <c r="E607" s="18"/>
      <c r="F607" s="28"/>
      <c r="G607" s="118"/>
      <c r="H607" s="35"/>
      <c r="I607" s="127"/>
      <c r="J607" s="122"/>
      <c r="K607" s="19"/>
      <c r="L607" s="19"/>
      <c r="M607" s="16"/>
    </row>
    <row r="608" spans="1:13" s="20" customFormat="1" ht="24.75" customHeight="1">
      <c r="A608" s="41"/>
      <c r="B608" s="17"/>
      <c r="C608" s="51"/>
      <c r="D608" s="139"/>
      <c r="E608" s="18"/>
      <c r="F608" s="28"/>
      <c r="G608" s="118"/>
      <c r="H608" s="35"/>
      <c r="I608" s="127"/>
      <c r="J608" s="122"/>
      <c r="K608" s="19"/>
      <c r="L608" s="19"/>
      <c r="M608" s="16"/>
    </row>
    <row r="609" spans="1:13" s="20" customFormat="1" ht="24.75" customHeight="1">
      <c r="A609" s="41"/>
      <c r="B609" s="17"/>
      <c r="C609" s="51"/>
      <c r="D609" s="139"/>
      <c r="E609" s="18"/>
      <c r="F609" s="28"/>
      <c r="G609" s="118"/>
      <c r="H609" s="35"/>
      <c r="I609" s="127"/>
      <c r="J609" s="122"/>
      <c r="K609" s="19"/>
      <c r="L609" s="19"/>
      <c r="M609" s="16"/>
    </row>
    <row r="610" spans="1:13" s="20" customFormat="1" ht="24.75" customHeight="1">
      <c r="A610" s="41"/>
      <c r="B610" s="17"/>
      <c r="C610" s="51"/>
      <c r="D610" s="139"/>
      <c r="E610" s="18"/>
      <c r="F610" s="28"/>
      <c r="G610" s="118"/>
      <c r="H610" s="35"/>
      <c r="I610" s="127"/>
      <c r="J610" s="122"/>
      <c r="K610" s="19"/>
      <c r="L610" s="19"/>
      <c r="M610" s="16"/>
    </row>
    <row r="611" spans="1:13" s="20" customFormat="1" ht="24.75" customHeight="1">
      <c r="A611" s="41"/>
      <c r="B611" s="17"/>
      <c r="C611" s="51"/>
      <c r="D611" s="139"/>
      <c r="E611" s="18"/>
      <c r="F611" s="28"/>
      <c r="G611" s="118"/>
      <c r="H611" s="35"/>
      <c r="I611" s="127"/>
      <c r="J611" s="122"/>
      <c r="K611" s="19"/>
      <c r="L611" s="19"/>
      <c r="M611" s="16"/>
    </row>
    <row r="612" spans="1:13" s="20" customFormat="1" ht="24.75" customHeight="1">
      <c r="A612" s="41"/>
      <c r="B612" s="17"/>
      <c r="C612" s="51"/>
      <c r="D612" s="139"/>
      <c r="E612" s="18"/>
      <c r="F612" s="28"/>
      <c r="G612" s="118"/>
      <c r="H612" s="35"/>
      <c r="I612" s="127"/>
      <c r="J612" s="122"/>
      <c r="K612" s="19"/>
      <c r="L612" s="19"/>
      <c r="M612" s="16"/>
    </row>
    <row r="613" spans="1:13" s="20" customFormat="1" ht="24.75" customHeight="1">
      <c r="A613" s="41"/>
      <c r="B613" s="17"/>
      <c r="C613" s="51"/>
      <c r="D613" s="139"/>
      <c r="E613" s="18"/>
      <c r="F613" s="28"/>
      <c r="G613" s="118"/>
      <c r="H613" s="35"/>
      <c r="I613" s="127"/>
      <c r="J613" s="122"/>
      <c r="K613" s="19"/>
      <c r="L613" s="19"/>
      <c r="M613" s="16"/>
    </row>
    <row r="614" spans="1:13" s="20" customFormat="1" ht="24.75" customHeight="1">
      <c r="A614" s="41"/>
      <c r="B614" s="17"/>
      <c r="C614" s="51"/>
      <c r="D614" s="139"/>
      <c r="E614" s="18"/>
      <c r="F614" s="28"/>
      <c r="G614" s="118"/>
      <c r="H614" s="35"/>
      <c r="I614" s="127"/>
      <c r="J614" s="122"/>
      <c r="K614" s="19"/>
      <c r="L614" s="19"/>
      <c r="M614" s="16"/>
    </row>
    <row r="615" spans="1:13" s="20" customFormat="1" ht="24.75" customHeight="1">
      <c r="A615" s="41"/>
      <c r="B615" s="17"/>
      <c r="C615" s="51"/>
      <c r="D615" s="139"/>
      <c r="E615" s="18"/>
      <c r="F615" s="28"/>
      <c r="G615" s="118"/>
      <c r="H615" s="35"/>
      <c r="I615" s="127"/>
      <c r="J615" s="122"/>
      <c r="K615" s="19"/>
      <c r="L615" s="19"/>
      <c r="M615" s="16"/>
    </row>
    <row r="616" spans="1:13" s="20" customFormat="1" ht="24.75" customHeight="1">
      <c r="A616" s="41"/>
      <c r="B616" s="17"/>
      <c r="C616" s="51"/>
      <c r="D616" s="139"/>
      <c r="E616" s="18"/>
      <c r="F616" s="28"/>
      <c r="G616" s="118"/>
      <c r="H616" s="35"/>
      <c r="I616" s="127"/>
      <c r="J616" s="122"/>
      <c r="K616" s="19"/>
      <c r="L616" s="19"/>
      <c r="M616" s="16"/>
    </row>
    <row r="617" spans="1:13" s="20" customFormat="1" ht="24.75" customHeight="1">
      <c r="A617" s="41"/>
      <c r="B617" s="17"/>
      <c r="C617" s="51"/>
      <c r="D617" s="139"/>
      <c r="E617" s="18"/>
      <c r="F617" s="28"/>
      <c r="G617" s="118"/>
      <c r="H617" s="35"/>
      <c r="I617" s="127"/>
      <c r="J617" s="122"/>
      <c r="K617" s="19"/>
      <c r="L617" s="19"/>
      <c r="M617" s="16"/>
    </row>
    <row r="618" spans="1:13" s="20" customFormat="1" ht="24.75" customHeight="1">
      <c r="A618" s="41"/>
      <c r="B618" s="17"/>
      <c r="C618" s="51"/>
      <c r="D618" s="139"/>
      <c r="E618" s="18"/>
      <c r="F618" s="28"/>
      <c r="G618" s="118"/>
      <c r="H618" s="35"/>
      <c r="I618" s="127"/>
      <c r="J618" s="122"/>
      <c r="K618" s="19"/>
      <c r="L618" s="19"/>
      <c r="M618" s="16"/>
    </row>
    <row r="619" spans="1:13" s="20" customFormat="1" ht="24.75" customHeight="1">
      <c r="A619" s="41"/>
      <c r="B619" s="17"/>
      <c r="C619" s="51"/>
      <c r="D619" s="139"/>
      <c r="E619" s="18"/>
      <c r="F619" s="28"/>
      <c r="G619" s="118"/>
      <c r="H619" s="35"/>
      <c r="I619" s="127"/>
      <c r="J619" s="122"/>
      <c r="K619" s="19"/>
      <c r="L619" s="19"/>
      <c r="M619" s="16"/>
    </row>
    <row r="620" spans="1:13" s="20" customFormat="1" ht="24.75" customHeight="1">
      <c r="A620" s="41"/>
      <c r="B620" s="17"/>
      <c r="C620" s="51"/>
      <c r="D620" s="139"/>
      <c r="E620" s="18"/>
      <c r="F620" s="28"/>
      <c r="G620" s="118"/>
      <c r="H620" s="35"/>
      <c r="I620" s="127"/>
      <c r="J620" s="122"/>
      <c r="K620" s="19"/>
      <c r="L620" s="19"/>
      <c r="M620" s="16"/>
    </row>
    <row r="621" spans="1:13" s="20" customFormat="1" ht="24.75" customHeight="1">
      <c r="A621" s="41"/>
      <c r="B621" s="17"/>
      <c r="C621" s="51"/>
      <c r="D621" s="139"/>
      <c r="E621" s="18"/>
      <c r="F621" s="28"/>
      <c r="G621" s="118"/>
      <c r="H621" s="35"/>
      <c r="I621" s="127"/>
      <c r="J621" s="122"/>
      <c r="K621" s="19"/>
      <c r="L621" s="19"/>
      <c r="M621" s="16"/>
    </row>
    <row r="622" spans="1:13" s="20" customFormat="1" ht="24.75" customHeight="1">
      <c r="A622" s="41"/>
      <c r="B622" s="17"/>
      <c r="C622" s="51"/>
      <c r="D622" s="139"/>
      <c r="E622" s="18"/>
      <c r="F622" s="28"/>
      <c r="G622" s="118"/>
      <c r="H622" s="35"/>
      <c r="I622" s="127"/>
      <c r="J622" s="122"/>
      <c r="K622" s="19"/>
      <c r="L622" s="19"/>
      <c r="M622" s="16"/>
    </row>
    <row r="623" spans="1:13" s="20" customFormat="1" ht="24.75" customHeight="1">
      <c r="A623" s="41"/>
      <c r="B623" s="17"/>
      <c r="C623" s="51"/>
      <c r="D623" s="139"/>
      <c r="E623" s="18"/>
      <c r="F623" s="28"/>
      <c r="G623" s="118"/>
      <c r="H623" s="35"/>
      <c r="I623" s="127"/>
      <c r="J623" s="122"/>
      <c r="K623" s="19"/>
      <c r="L623" s="19"/>
      <c r="M623" s="16"/>
    </row>
    <row r="624" spans="1:13" s="20" customFormat="1" ht="24.75" customHeight="1">
      <c r="A624" s="41"/>
      <c r="B624" s="17"/>
      <c r="C624" s="51"/>
      <c r="D624" s="139"/>
      <c r="E624" s="18"/>
      <c r="F624" s="28"/>
      <c r="G624" s="118"/>
      <c r="H624" s="35"/>
      <c r="I624" s="127"/>
      <c r="J624" s="122"/>
      <c r="K624" s="19"/>
      <c r="L624" s="19"/>
      <c r="M624" s="16"/>
    </row>
    <row r="625" spans="1:13" s="20" customFormat="1" ht="24.75" customHeight="1">
      <c r="A625" s="41"/>
      <c r="B625" s="17"/>
      <c r="C625" s="51"/>
      <c r="D625" s="139"/>
      <c r="E625" s="18"/>
      <c r="F625" s="28"/>
      <c r="G625" s="118"/>
      <c r="H625" s="35"/>
      <c r="I625" s="127"/>
      <c r="J625" s="122"/>
      <c r="K625" s="19"/>
      <c r="L625" s="19"/>
      <c r="M625" s="16"/>
    </row>
    <row r="626" spans="1:13" s="20" customFormat="1" ht="24.75" customHeight="1">
      <c r="A626" s="41"/>
      <c r="B626" s="17"/>
      <c r="C626" s="51"/>
      <c r="D626" s="139"/>
      <c r="E626" s="18"/>
      <c r="F626" s="28"/>
      <c r="G626" s="118"/>
      <c r="H626" s="35"/>
      <c r="I626" s="127"/>
      <c r="J626" s="122"/>
      <c r="K626" s="19"/>
      <c r="L626" s="19"/>
      <c r="M626" s="16"/>
    </row>
    <row r="627" spans="1:13" s="20" customFormat="1" ht="24.75" customHeight="1">
      <c r="A627" s="41"/>
      <c r="B627" s="17"/>
      <c r="C627" s="51"/>
      <c r="D627" s="139"/>
      <c r="E627" s="18"/>
      <c r="F627" s="28"/>
      <c r="G627" s="118"/>
      <c r="H627" s="35"/>
      <c r="I627" s="127"/>
      <c r="J627" s="122"/>
      <c r="K627" s="19"/>
      <c r="L627" s="19"/>
      <c r="M627" s="16"/>
    </row>
    <row r="628" spans="1:13" s="20" customFormat="1" ht="24.75" customHeight="1">
      <c r="A628" s="41"/>
      <c r="B628" s="17"/>
      <c r="C628" s="51"/>
      <c r="D628" s="139"/>
      <c r="E628" s="18"/>
      <c r="F628" s="28"/>
      <c r="G628" s="118"/>
      <c r="H628" s="35"/>
      <c r="I628" s="127"/>
      <c r="J628" s="122"/>
      <c r="K628" s="19"/>
      <c r="L628" s="19"/>
      <c r="M628" s="16"/>
    </row>
    <row r="629" spans="1:13" s="20" customFormat="1" ht="24.75" customHeight="1">
      <c r="A629" s="41"/>
      <c r="B629" s="17"/>
      <c r="C629" s="51"/>
      <c r="D629" s="139"/>
      <c r="E629" s="18"/>
      <c r="F629" s="28"/>
      <c r="G629" s="118"/>
      <c r="H629" s="35"/>
      <c r="I629" s="127"/>
      <c r="J629" s="122"/>
      <c r="K629" s="19"/>
      <c r="L629" s="19"/>
      <c r="M629" s="16"/>
    </row>
    <row r="630" spans="1:13" s="20" customFormat="1" ht="24.75" customHeight="1">
      <c r="A630" s="41"/>
      <c r="B630" s="17"/>
      <c r="C630" s="51"/>
      <c r="D630" s="139"/>
      <c r="E630" s="18"/>
      <c r="F630" s="28"/>
      <c r="G630" s="118"/>
      <c r="H630" s="35"/>
      <c r="I630" s="127"/>
      <c r="J630" s="122"/>
      <c r="K630" s="19"/>
      <c r="L630" s="19"/>
      <c r="M630" s="16"/>
    </row>
    <row r="631" spans="1:13" s="20" customFormat="1" ht="24.75" customHeight="1">
      <c r="A631" s="41"/>
      <c r="B631" s="17"/>
      <c r="C631" s="51"/>
      <c r="D631" s="139"/>
      <c r="E631" s="18"/>
      <c r="F631" s="28"/>
      <c r="G631" s="118"/>
      <c r="H631" s="35"/>
      <c r="I631" s="127"/>
      <c r="J631" s="122"/>
      <c r="K631" s="19"/>
      <c r="L631" s="19"/>
      <c r="M631" s="16"/>
    </row>
    <row r="632" spans="1:13" s="20" customFormat="1" ht="24.75" customHeight="1">
      <c r="A632" s="41"/>
      <c r="B632" s="17"/>
      <c r="C632" s="51"/>
      <c r="D632" s="139"/>
      <c r="E632" s="18"/>
      <c r="F632" s="28"/>
      <c r="G632" s="118"/>
      <c r="H632" s="35"/>
      <c r="I632" s="127"/>
      <c r="J632" s="122"/>
      <c r="K632" s="19"/>
      <c r="L632" s="19"/>
      <c r="M632" s="16"/>
    </row>
    <row r="633" spans="1:13" s="20" customFormat="1" ht="24.75" customHeight="1">
      <c r="A633" s="41"/>
      <c r="B633" s="17"/>
      <c r="C633" s="51"/>
      <c r="D633" s="139"/>
      <c r="E633" s="18"/>
      <c r="F633" s="28"/>
      <c r="G633" s="118"/>
      <c r="H633" s="35"/>
      <c r="I633" s="127"/>
      <c r="J633" s="122"/>
      <c r="K633" s="19"/>
      <c r="L633" s="19"/>
      <c r="M633" s="16"/>
    </row>
    <row r="634" spans="1:13" s="20" customFormat="1" ht="24.75" customHeight="1">
      <c r="A634" s="41"/>
      <c r="B634" s="17"/>
      <c r="C634" s="51"/>
      <c r="D634" s="139"/>
      <c r="E634" s="18"/>
      <c r="F634" s="28"/>
      <c r="G634" s="118"/>
      <c r="H634" s="35"/>
      <c r="I634" s="127"/>
      <c r="J634" s="122"/>
      <c r="K634" s="19"/>
      <c r="L634" s="19"/>
      <c r="M634" s="16"/>
    </row>
    <row r="635" spans="1:13" s="20" customFormat="1" ht="24.75" customHeight="1">
      <c r="A635" s="41"/>
      <c r="B635" s="17"/>
      <c r="C635" s="51"/>
      <c r="D635" s="139"/>
      <c r="E635" s="18"/>
      <c r="F635" s="28"/>
      <c r="G635" s="118"/>
      <c r="H635" s="35"/>
      <c r="I635" s="127"/>
      <c r="J635" s="122"/>
      <c r="K635" s="19"/>
      <c r="L635" s="19"/>
      <c r="M635" s="16"/>
    </row>
    <row r="636" spans="1:13" s="20" customFormat="1" ht="24.75" customHeight="1">
      <c r="A636" s="41"/>
      <c r="B636" s="17"/>
      <c r="C636" s="51"/>
      <c r="D636" s="139"/>
      <c r="E636" s="18"/>
      <c r="F636" s="28"/>
      <c r="G636" s="118"/>
      <c r="H636" s="35"/>
      <c r="I636" s="127"/>
      <c r="J636" s="122"/>
      <c r="K636" s="19"/>
      <c r="L636" s="19"/>
      <c r="M636" s="16"/>
    </row>
    <row r="637" spans="1:13" s="20" customFormat="1" ht="24.75" customHeight="1">
      <c r="A637" s="41"/>
      <c r="B637" s="17"/>
      <c r="C637" s="51"/>
      <c r="D637" s="139"/>
      <c r="E637" s="18"/>
      <c r="F637" s="28"/>
      <c r="G637" s="118"/>
      <c r="H637" s="35"/>
      <c r="I637" s="127"/>
      <c r="J637" s="122"/>
      <c r="K637" s="19"/>
      <c r="L637" s="19"/>
      <c r="M637" s="16"/>
    </row>
    <row r="638" spans="1:13" s="20" customFormat="1" ht="24.75" customHeight="1">
      <c r="A638" s="41"/>
      <c r="B638" s="17"/>
      <c r="C638" s="51"/>
      <c r="D638" s="139"/>
      <c r="E638" s="18"/>
      <c r="F638" s="28"/>
      <c r="G638" s="118"/>
      <c r="H638" s="35"/>
      <c r="I638" s="127"/>
      <c r="J638" s="122"/>
      <c r="K638" s="19"/>
      <c r="L638" s="19"/>
      <c r="M638" s="16"/>
    </row>
    <row r="639" spans="1:13" s="20" customFormat="1" ht="24.75" customHeight="1">
      <c r="A639" s="41"/>
      <c r="B639" s="17"/>
      <c r="C639" s="51"/>
      <c r="D639" s="139"/>
      <c r="E639" s="18"/>
      <c r="F639" s="28"/>
      <c r="G639" s="118"/>
      <c r="H639" s="35"/>
      <c r="I639" s="127"/>
      <c r="J639" s="122"/>
      <c r="K639" s="19"/>
      <c r="L639" s="19"/>
      <c r="M639" s="16"/>
    </row>
    <row r="640" spans="1:13" s="20" customFormat="1" ht="24.75" customHeight="1">
      <c r="A640" s="41"/>
      <c r="B640" s="17"/>
      <c r="C640" s="51"/>
      <c r="D640" s="139"/>
      <c r="E640" s="18"/>
      <c r="F640" s="28"/>
      <c r="G640" s="118"/>
      <c r="H640" s="35"/>
      <c r="I640" s="127"/>
      <c r="J640" s="122"/>
      <c r="K640" s="19"/>
      <c r="L640" s="19"/>
      <c r="M640" s="16"/>
    </row>
    <row r="641" spans="1:13" s="20" customFormat="1" ht="24.75" customHeight="1">
      <c r="A641" s="41"/>
      <c r="B641" s="17"/>
      <c r="C641" s="51"/>
      <c r="D641" s="139"/>
      <c r="E641" s="18"/>
      <c r="F641" s="28"/>
      <c r="G641" s="118"/>
      <c r="H641" s="35"/>
      <c r="I641" s="127"/>
      <c r="J641" s="122"/>
      <c r="K641" s="19"/>
      <c r="L641" s="19"/>
      <c r="M641" s="16"/>
    </row>
    <row r="642" spans="1:13" s="20" customFormat="1" ht="24.75" customHeight="1">
      <c r="A642" s="41"/>
      <c r="B642" s="17"/>
      <c r="C642" s="51"/>
      <c r="D642" s="139"/>
      <c r="E642" s="18"/>
      <c r="F642" s="28"/>
      <c r="G642" s="118"/>
      <c r="H642" s="35"/>
      <c r="I642" s="127"/>
      <c r="J642" s="122"/>
      <c r="K642" s="19"/>
      <c r="L642" s="19"/>
      <c r="M642" s="16"/>
    </row>
    <row r="643" spans="1:13" s="20" customFormat="1" ht="24.75" customHeight="1">
      <c r="A643" s="41"/>
      <c r="B643" s="17"/>
      <c r="C643" s="51"/>
      <c r="D643" s="139"/>
      <c r="E643" s="18"/>
      <c r="F643" s="28"/>
      <c r="G643" s="118"/>
      <c r="H643" s="35"/>
      <c r="I643" s="127"/>
      <c r="J643" s="122"/>
      <c r="K643" s="19"/>
      <c r="L643" s="19"/>
      <c r="M643" s="16"/>
    </row>
    <row r="644" spans="1:13" s="20" customFormat="1" ht="24.75" customHeight="1">
      <c r="A644" s="41"/>
      <c r="B644" s="17"/>
      <c r="C644" s="51"/>
      <c r="D644" s="139"/>
      <c r="E644" s="18"/>
      <c r="F644" s="28"/>
      <c r="G644" s="118"/>
      <c r="H644" s="35"/>
      <c r="I644" s="127"/>
      <c r="J644" s="122"/>
      <c r="K644" s="19"/>
      <c r="L644" s="19"/>
      <c r="M644" s="16"/>
    </row>
    <row r="645" spans="1:13" s="20" customFormat="1" ht="24.75" customHeight="1">
      <c r="A645" s="41"/>
      <c r="B645" s="17"/>
      <c r="C645" s="51"/>
      <c r="D645" s="139"/>
      <c r="E645" s="18"/>
      <c r="F645" s="28"/>
      <c r="G645" s="118"/>
      <c r="H645" s="35"/>
      <c r="I645" s="127"/>
      <c r="J645" s="122"/>
      <c r="K645" s="19"/>
      <c r="L645" s="19"/>
      <c r="M645" s="16"/>
    </row>
    <row r="646" spans="1:13" s="20" customFormat="1" ht="24.75" customHeight="1">
      <c r="A646" s="41"/>
      <c r="B646" s="17"/>
      <c r="C646" s="51"/>
      <c r="D646" s="139"/>
      <c r="E646" s="18"/>
      <c r="F646" s="28"/>
      <c r="G646" s="118"/>
      <c r="H646" s="35"/>
      <c r="I646" s="127"/>
      <c r="J646" s="122"/>
      <c r="K646" s="19"/>
      <c r="L646" s="19"/>
      <c r="M646" s="16"/>
    </row>
    <row r="647" spans="1:13" s="20" customFormat="1" ht="24.75" customHeight="1">
      <c r="A647" s="41"/>
      <c r="B647" s="17"/>
      <c r="C647" s="51"/>
      <c r="D647" s="139"/>
      <c r="E647" s="18"/>
      <c r="F647" s="28"/>
      <c r="G647" s="118"/>
      <c r="H647" s="35"/>
      <c r="I647" s="127"/>
      <c r="J647" s="122"/>
      <c r="K647" s="19"/>
      <c r="L647" s="19"/>
      <c r="M647" s="16"/>
    </row>
    <row r="648" spans="1:13" s="20" customFormat="1" ht="24.75" customHeight="1">
      <c r="A648" s="41"/>
      <c r="B648" s="17"/>
      <c r="C648" s="51"/>
      <c r="D648" s="139"/>
      <c r="E648" s="18"/>
      <c r="F648" s="28"/>
      <c r="G648" s="118"/>
      <c r="H648" s="35"/>
      <c r="I648" s="127"/>
      <c r="J648" s="122"/>
      <c r="K648" s="19"/>
      <c r="L648" s="19"/>
      <c r="M648" s="16"/>
    </row>
    <row r="649" spans="1:13" s="20" customFormat="1" ht="24.75" customHeight="1">
      <c r="A649" s="41"/>
      <c r="B649" s="17"/>
      <c r="C649" s="51"/>
      <c r="D649" s="139"/>
      <c r="E649" s="18"/>
      <c r="F649" s="28"/>
      <c r="G649" s="118"/>
      <c r="H649" s="35"/>
      <c r="I649" s="127"/>
      <c r="J649" s="122"/>
      <c r="K649" s="19"/>
      <c r="L649" s="19"/>
      <c r="M649" s="16"/>
    </row>
    <row r="650" spans="1:13" s="20" customFormat="1" ht="24.75" customHeight="1">
      <c r="A650" s="41"/>
      <c r="B650" s="17"/>
      <c r="C650" s="51"/>
      <c r="D650" s="139"/>
      <c r="E650" s="18"/>
      <c r="F650" s="28"/>
      <c r="G650" s="118"/>
      <c r="H650" s="35"/>
      <c r="I650" s="127"/>
      <c r="J650" s="122"/>
      <c r="K650" s="19"/>
      <c r="L650" s="19"/>
      <c r="M650" s="16"/>
    </row>
    <row r="651" spans="1:13" s="20" customFormat="1" ht="24.75" customHeight="1">
      <c r="A651" s="41"/>
      <c r="B651" s="17"/>
      <c r="C651" s="51"/>
      <c r="D651" s="139"/>
      <c r="E651" s="18"/>
      <c r="F651" s="28"/>
      <c r="G651" s="118"/>
      <c r="H651" s="35"/>
      <c r="I651" s="127"/>
      <c r="J651" s="122"/>
      <c r="K651" s="19"/>
      <c r="L651" s="19"/>
      <c r="M651" s="16"/>
    </row>
    <row r="652" spans="1:13" s="20" customFormat="1" ht="24.75" customHeight="1">
      <c r="A652" s="41"/>
      <c r="B652" s="17"/>
      <c r="C652" s="51"/>
      <c r="D652" s="139"/>
      <c r="E652" s="18"/>
      <c r="F652" s="28"/>
      <c r="G652" s="118"/>
      <c r="H652" s="35"/>
      <c r="I652" s="127"/>
      <c r="J652" s="122"/>
      <c r="K652" s="19"/>
      <c r="L652" s="19"/>
      <c r="M652" s="16"/>
    </row>
    <row r="653" spans="1:13" s="20" customFormat="1" ht="24.75" customHeight="1">
      <c r="A653" s="41"/>
      <c r="B653" s="17"/>
      <c r="C653" s="51"/>
      <c r="D653" s="139"/>
      <c r="E653" s="18"/>
      <c r="F653" s="28"/>
      <c r="G653" s="118"/>
      <c r="H653" s="35"/>
      <c r="I653" s="127"/>
      <c r="J653" s="122"/>
      <c r="K653" s="19"/>
      <c r="L653" s="19"/>
      <c r="M653" s="16"/>
    </row>
    <row r="654" spans="1:13" s="20" customFormat="1" ht="24.75" customHeight="1">
      <c r="A654" s="41"/>
      <c r="B654" s="17"/>
      <c r="C654" s="51"/>
      <c r="D654" s="139"/>
      <c r="E654" s="18"/>
      <c r="F654" s="28"/>
      <c r="G654" s="118"/>
      <c r="H654" s="35"/>
      <c r="I654" s="127"/>
      <c r="J654" s="122"/>
      <c r="K654" s="19"/>
      <c r="L654" s="19"/>
      <c r="M654" s="16"/>
    </row>
    <row r="655" spans="1:13" s="20" customFormat="1" ht="24.75" customHeight="1">
      <c r="A655" s="41"/>
      <c r="B655" s="17"/>
      <c r="C655" s="51"/>
      <c r="D655" s="139"/>
      <c r="E655" s="18"/>
      <c r="F655" s="28"/>
      <c r="G655" s="118"/>
      <c r="H655" s="35"/>
      <c r="I655" s="127"/>
      <c r="J655" s="122"/>
      <c r="K655" s="19"/>
      <c r="L655" s="19"/>
      <c r="M655" s="16"/>
    </row>
    <row r="656" spans="1:13" s="20" customFormat="1" ht="24.75" customHeight="1">
      <c r="A656" s="41"/>
      <c r="B656" s="17"/>
      <c r="C656" s="51"/>
      <c r="D656" s="139"/>
      <c r="E656" s="18"/>
      <c r="F656" s="28"/>
      <c r="G656" s="118"/>
      <c r="H656" s="35"/>
      <c r="I656" s="127"/>
      <c r="J656" s="122"/>
      <c r="K656" s="19"/>
      <c r="L656" s="19"/>
      <c r="M656" s="16"/>
    </row>
    <row r="657" spans="1:13" s="20" customFormat="1" ht="24.75" customHeight="1">
      <c r="A657" s="41"/>
      <c r="B657" s="17"/>
      <c r="C657" s="51"/>
      <c r="D657" s="139"/>
      <c r="E657" s="18"/>
      <c r="F657" s="28"/>
      <c r="G657" s="118"/>
      <c r="H657" s="35"/>
      <c r="I657" s="127"/>
      <c r="J657" s="122"/>
      <c r="K657" s="19"/>
      <c r="L657" s="19"/>
      <c r="M657" s="16"/>
    </row>
    <row r="658" spans="1:13" s="20" customFormat="1" ht="24.75" customHeight="1">
      <c r="A658" s="41"/>
      <c r="B658" s="17"/>
      <c r="C658" s="51"/>
      <c r="D658" s="139"/>
      <c r="E658" s="18"/>
      <c r="F658" s="28"/>
      <c r="G658" s="118"/>
      <c r="H658" s="35"/>
      <c r="I658" s="127"/>
      <c r="J658" s="122"/>
      <c r="K658" s="19"/>
      <c r="L658" s="19"/>
      <c r="M658" s="16"/>
    </row>
    <row r="659" spans="1:13" s="20" customFormat="1" ht="24.75" customHeight="1">
      <c r="A659" s="41"/>
      <c r="B659" s="17"/>
      <c r="C659" s="51"/>
      <c r="D659" s="139"/>
      <c r="E659" s="18"/>
      <c r="F659" s="28"/>
      <c r="G659" s="118"/>
      <c r="H659" s="35"/>
      <c r="I659" s="127"/>
      <c r="J659" s="122"/>
      <c r="K659" s="19"/>
      <c r="L659" s="19"/>
      <c r="M659" s="16"/>
    </row>
    <row r="660" spans="1:13" s="20" customFormat="1" ht="24.75" customHeight="1">
      <c r="A660" s="41"/>
      <c r="B660" s="17"/>
      <c r="C660" s="51"/>
      <c r="D660" s="139"/>
      <c r="E660" s="18"/>
      <c r="F660" s="28"/>
      <c r="G660" s="118"/>
      <c r="H660" s="35"/>
      <c r="I660" s="127"/>
      <c r="J660" s="122"/>
      <c r="K660" s="19"/>
      <c r="L660" s="19"/>
      <c r="M660" s="16"/>
    </row>
    <row r="661" spans="1:13" s="20" customFormat="1" ht="24.75" customHeight="1">
      <c r="A661" s="41"/>
      <c r="B661" s="17"/>
      <c r="C661" s="51"/>
      <c r="D661" s="139"/>
      <c r="E661" s="18"/>
      <c r="F661" s="28"/>
      <c r="G661" s="118"/>
      <c r="H661" s="35"/>
      <c r="I661" s="127"/>
      <c r="J661" s="122"/>
      <c r="K661" s="19"/>
      <c r="L661" s="19"/>
      <c r="M661" s="16"/>
    </row>
    <row r="662" spans="1:13" s="20" customFormat="1" ht="24.75" customHeight="1">
      <c r="A662" s="41"/>
      <c r="B662" s="17"/>
      <c r="C662" s="51"/>
      <c r="D662" s="139"/>
      <c r="E662" s="18"/>
      <c r="F662" s="28"/>
      <c r="G662" s="118"/>
      <c r="H662" s="35"/>
      <c r="I662" s="127"/>
      <c r="J662" s="122"/>
      <c r="K662" s="19"/>
      <c r="L662" s="19"/>
      <c r="M662" s="16"/>
    </row>
    <row r="663" spans="1:13" s="20" customFormat="1" ht="24.75" customHeight="1">
      <c r="A663" s="41"/>
      <c r="B663" s="17"/>
      <c r="C663" s="51"/>
      <c r="D663" s="139"/>
      <c r="E663" s="18"/>
      <c r="F663" s="28"/>
      <c r="G663" s="118"/>
      <c r="H663" s="35"/>
      <c r="I663" s="127"/>
      <c r="J663" s="122"/>
      <c r="K663" s="19"/>
      <c r="L663" s="19"/>
      <c r="M663" s="16"/>
    </row>
    <row r="664" spans="1:13" s="20" customFormat="1" ht="24.75" customHeight="1">
      <c r="A664" s="41"/>
      <c r="B664" s="17"/>
      <c r="C664" s="51"/>
      <c r="D664" s="139"/>
      <c r="E664" s="18"/>
      <c r="F664" s="28"/>
      <c r="G664" s="118"/>
      <c r="H664" s="35"/>
      <c r="I664" s="127"/>
      <c r="J664" s="122"/>
      <c r="K664" s="19"/>
      <c r="L664" s="19"/>
      <c r="M664" s="16"/>
    </row>
    <row r="665" spans="1:13" s="20" customFormat="1" ht="24.75" customHeight="1">
      <c r="A665" s="41"/>
      <c r="B665" s="17"/>
      <c r="C665" s="51"/>
      <c r="D665" s="139"/>
      <c r="E665" s="18"/>
      <c r="F665" s="28"/>
      <c r="G665" s="118"/>
      <c r="H665" s="35"/>
      <c r="I665" s="127"/>
      <c r="J665" s="122"/>
      <c r="K665" s="19"/>
      <c r="L665" s="19"/>
      <c r="M665" s="16"/>
    </row>
    <row r="666" spans="1:13" s="20" customFormat="1" ht="24.75" customHeight="1">
      <c r="A666" s="41"/>
      <c r="B666" s="17"/>
      <c r="C666" s="51"/>
      <c r="D666" s="139"/>
      <c r="E666" s="18"/>
      <c r="F666" s="28"/>
      <c r="G666" s="118"/>
      <c r="H666" s="35"/>
      <c r="I666" s="127"/>
      <c r="J666" s="122"/>
      <c r="K666" s="19"/>
      <c r="L666" s="19"/>
      <c r="M666" s="16"/>
    </row>
    <row r="667" spans="1:13" s="20" customFormat="1" ht="24.75" customHeight="1">
      <c r="A667" s="41"/>
      <c r="B667" s="17"/>
      <c r="C667" s="51"/>
      <c r="D667" s="139"/>
      <c r="E667" s="18"/>
      <c r="F667" s="28"/>
      <c r="G667" s="118"/>
      <c r="H667" s="35"/>
      <c r="I667" s="127"/>
      <c r="J667" s="122"/>
      <c r="K667" s="19"/>
      <c r="L667" s="19"/>
      <c r="M667" s="16"/>
    </row>
    <row r="668" spans="1:13" s="20" customFormat="1" ht="24.75" customHeight="1">
      <c r="A668" s="41"/>
      <c r="B668" s="17"/>
      <c r="C668" s="51"/>
      <c r="D668" s="139"/>
      <c r="E668" s="18"/>
      <c r="F668" s="28"/>
      <c r="G668" s="118"/>
      <c r="H668" s="35"/>
      <c r="I668" s="127"/>
      <c r="J668" s="122"/>
      <c r="K668" s="19"/>
      <c r="L668" s="19"/>
      <c r="M668" s="16"/>
    </row>
    <row r="669" spans="1:13" s="20" customFormat="1" ht="24.75" customHeight="1">
      <c r="A669" s="41"/>
      <c r="B669" s="17"/>
      <c r="C669" s="51"/>
      <c r="D669" s="139"/>
      <c r="E669" s="18"/>
      <c r="F669" s="28"/>
      <c r="G669" s="118"/>
      <c r="H669" s="35"/>
      <c r="I669" s="127"/>
      <c r="J669" s="122"/>
      <c r="K669" s="19"/>
      <c r="L669" s="19"/>
      <c r="M669" s="16"/>
    </row>
    <row r="670" spans="1:13" s="20" customFormat="1" ht="24.75" customHeight="1">
      <c r="A670" s="41"/>
      <c r="B670" s="17"/>
      <c r="C670" s="51"/>
      <c r="D670" s="139"/>
      <c r="E670" s="18"/>
      <c r="F670" s="28"/>
      <c r="G670" s="118"/>
      <c r="H670" s="35"/>
      <c r="I670" s="127"/>
      <c r="J670" s="122"/>
      <c r="K670" s="19"/>
      <c r="L670" s="19"/>
      <c r="M670" s="16"/>
    </row>
    <row r="671" spans="1:13" s="20" customFormat="1" ht="24.75" customHeight="1">
      <c r="A671" s="41"/>
      <c r="B671" s="17"/>
      <c r="C671" s="51"/>
      <c r="D671" s="139"/>
      <c r="E671" s="18"/>
      <c r="F671" s="28"/>
      <c r="G671" s="118"/>
      <c r="H671" s="35"/>
      <c r="I671" s="127"/>
      <c r="J671" s="122"/>
      <c r="K671" s="19"/>
      <c r="L671" s="19"/>
      <c r="M671" s="16"/>
    </row>
    <row r="672" spans="1:13" s="20" customFormat="1" ht="24.75" customHeight="1">
      <c r="A672" s="41"/>
      <c r="B672" s="17"/>
      <c r="C672" s="51"/>
      <c r="D672" s="139"/>
      <c r="E672" s="18"/>
      <c r="F672" s="28"/>
      <c r="G672" s="118"/>
      <c r="H672" s="35"/>
      <c r="I672" s="127"/>
      <c r="J672" s="122"/>
      <c r="K672" s="19"/>
      <c r="L672" s="19"/>
      <c r="M672" s="16"/>
    </row>
    <row r="673" spans="1:13" s="20" customFormat="1" ht="24.75" customHeight="1">
      <c r="A673" s="41"/>
      <c r="B673" s="17"/>
      <c r="C673" s="51"/>
      <c r="D673" s="139"/>
      <c r="E673" s="18"/>
      <c r="F673" s="28"/>
      <c r="G673" s="118"/>
      <c r="H673" s="35"/>
      <c r="I673" s="127"/>
      <c r="J673" s="122"/>
      <c r="K673" s="19"/>
      <c r="L673" s="19"/>
      <c r="M673" s="16"/>
    </row>
    <row r="674" spans="1:13" s="20" customFormat="1" ht="24.75" customHeight="1">
      <c r="A674" s="41"/>
      <c r="B674" s="17"/>
      <c r="C674" s="51"/>
      <c r="D674" s="139"/>
      <c r="E674" s="18"/>
      <c r="F674" s="28"/>
      <c r="G674" s="118"/>
      <c r="H674" s="35"/>
      <c r="I674" s="127"/>
      <c r="J674" s="122"/>
      <c r="K674" s="19"/>
      <c r="L674" s="19"/>
      <c r="M674" s="16"/>
    </row>
    <row r="675" spans="1:13" s="20" customFormat="1" ht="24.75" customHeight="1">
      <c r="A675" s="41"/>
      <c r="B675" s="17"/>
      <c r="C675" s="51"/>
      <c r="D675" s="139"/>
      <c r="E675" s="18"/>
      <c r="F675" s="28"/>
      <c r="G675" s="118"/>
      <c r="H675" s="35"/>
      <c r="I675" s="127"/>
      <c r="J675" s="122"/>
      <c r="K675" s="19"/>
      <c r="L675" s="19"/>
      <c r="M675" s="16"/>
    </row>
    <row r="676" spans="1:13" s="20" customFormat="1" ht="24.75" customHeight="1">
      <c r="A676" s="41"/>
      <c r="B676" s="17"/>
      <c r="C676" s="51"/>
      <c r="D676" s="139"/>
      <c r="E676" s="18"/>
      <c r="F676" s="28"/>
      <c r="G676" s="118"/>
      <c r="H676" s="35"/>
      <c r="I676" s="127"/>
      <c r="J676" s="122"/>
      <c r="K676" s="19"/>
      <c r="L676" s="19"/>
      <c r="M676" s="16"/>
    </row>
    <row r="677" spans="1:13" s="20" customFormat="1" ht="24.75" customHeight="1">
      <c r="A677" s="41"/>
      <c r="B677" s="17"/>
      <c r="C677" s="51"/>
      <c r="D677" s="139"/>
      <c r="E677" s="18"/>
      <c r="F677" s="28"/>
      <c r="G677" s="118"/>
      <c r="H677" s="35"/>
      <c r="I677" s="127"/>
      <c r="J677" s="122"/>
      <c r="K677" s="19"/>
      <c r="L677" s="19"/>
      <c r="M677" s="16"/>
    </row>
    <row r="678" spans="1:13" s="20" customFormat="1" ht="24.75" customHeight="1">
      <c r="A678" s="41"/>
      <c r="B678" s="17"/>
      <c r="C678" s="51"/>
      <c r="D678" s="139"/>
      <c r="E678" s="18"/>
      <c r="F678" s="28"/>
      <c r="G678" s="118"/>
      <c r="H678" s="35"/>
      <c r="I678" s="127"/>
      <c r="J678" s="122"/>
      <c r="K678" s="19"/>
      <c r="L678" s="19"/>
      <c r="M678" s="16"/>
    </row>
    <row r="679" spans="1:13" s="20" customFormat="1" ht="24.75" customHeight="1">
      <c r="A679" s="41"/>
      <c r="B679" s="17"/>
      <c r="C679" s="51"/>
      <c r="D679" s="139"/>
      <c r="E679" s="18"/>
      <c r="F679" s="28"/>
      <c r="G679" s="118"/>
      <c r="H679" s="35"/>
      <c r="I679" s="127"/>
      <c r="J679" s="122"/>
      <c r="K679" s="19"/>
      <c r="L679" s="19"/>
      <c r="M679" s="16"/>
    </row>
    <row r="680" spans="1:13" s="20" customFormat="1" ht="24.75" customHeight="1">
      <c r="A680" s="41"/>
      <c r="B680" s="17"/>
      <c r="C680" s="51"/>
      <c r="D680" s="139"/>
      <c r="E680" s="18"/>
      <c r="F680" s="28"/>
      <c r="G680" s="118"/>
      <c r="H680" s="35"/>
      <c r="I680" s="127"/>
      <c r="J680" s="122"/>
      <c r="K680" s="19"/>
      <c r="L680" s="19"/>
      <c r="M680" s="16"/>
    </row>
    <row r="681" spans="1:13" s="20" customFormat="1" ht="24.75" customHeight="1">
      <c r="A681" s="41"/>
      <c r="B681" s="17"/>
      <c r="C681" s="51"/>
      <c r="D681" s="139"/>
      <c r="E681" s="18"/>
      <c r="F681" s="28"/>
      <c r="G681" s="118"/>
      <c r="H681" s="35"/>
      <c r="I681" s="127"/>
      <c r="J681" s="122"/>
      <c r="K681" s="19"/>
      <c r="L681" s="19"/>
      <c r="M681" s="16"/>
    </row>
    <row r="682" spans="1:13" s="20" customFormat="1" ht="24.75" customHeight="1">
      <c r="A682" s="41"/>
      <c r="B682" s="17"/>
      <c r="C682" s="51"/>
      <c r="D682" s="139"/>
      <c r="E682" s="18"/>
      <c r="F682" s="28"/>
      <c r="G682" s="118"/>
      <c r="H682" s="35"/>
      <c r="I682" s="127"/>
      <c r="J682" s="122"/>
      <c r="K682" s="19"/>
      <c r="L682" s="19"/>
      <c r="M682" s="16"/>
    </row>
    <row r="683" spans="1:13" s="20" customFormat="1" ht="24.75" customHeight="1">
      <c r="A683" s="41"/>
      <c r="B683" s="17"/>
      <c r="C683" s="51"/>
      <c r="D683" s="139"/>
      <c r="E683" s="18"/>
      <c r="F683" s="28"/>
      <c r="G683" s="118"/>
      <c r="H683" s="35"/>
      <c r="I683" s="127"/>
      <c r="J683" s="122"/>
      <c r="K683" s="19"/>
      <c r="L683" s="19"/>
      <c r="M683" s="16"/>
    </row>
    <row r="684" spans="1:13" s="20" customFormat="1" ht="24.75" customHeight="1">
      <c r="A684" s="41"/>
      <c r="B684" s="17"/>
      <c r="C684" s="51"/>
      <c r="D684" s="139"/>
      <c r="E684" s="18"/>
      <c r="F684" s="28"/>
      <c r="G684" s="118"/>
      <c r="H684" s="35"/>
      <c r="I684" s="127"/>
      <c r="J684" s="122"/>
      <c r="K684" s="19"/>
      <c r="L684" s="19"/>
      <c r="M684" s="16"/>
    </row>
    <row r="685" spans="1:13" s="20" customFormat="1" ht="24.75" customHeight="1">
      <c r="A685" s="41"/>
      <c r="B685" s="17"/>
      <c r="C685" s="51"/>
      <c r="D685" s="139"/>
      <c r="E685" s="18"/>
      <c r="F685" s="28"/>
      <c r="G685" s="118"/>
      <c r="H685" s="35"/>
      <c r="I685" s="127"/>
      <c r="J685" s="122"/>
      <c r="K685" s="19"/>
      <c r="L685" s="19"/>
      <c r="M685" s="16"/>
    </row>
    <row r="686" spans="1:13" s="20" customFormat="1" ht="24.75" customHeight="1">
      <c r="A686" s="41"/>
      <c r="B686" s="17"/>
      <c r="C686" s="51"/>
      <c r="D686" s="139"/>
      <c r="E686" s="18"/>
      <c r="F686" s="28"/>
      <c r="G686" s="118"/>
      <c r="H686" s="35"/>
      <c r="I686" s="127"/>
      <c r="J686" s="122"/>
      <c r="K686" s="19"/>
      <c r="L686" s="19"/>
      <c r="M686" s="16"/>
    </row>
    <row r="687" spans="1:13" s="20" customFormat="1" ht="24.75" customHeight="1">
      <c r="A687" s="41"/>
      <c r="B687" s="17"/>
      <c r="C687" s="51"/>
      <c r="D687" s="139"/>
      <c r="E687" s="18"/>
      <c r="F687" s="28"/>
      <c r="G687" s="118"/>
      <c r="H687" s="35"/>
      <c r="I687" s="127"/>
      <c r="J687" s="122"/>
      <c r="K687" s="19"/>
      <c r="L687" s="19"/>
      <c r="M687" s="16"/>
    </row>
    <row r="688" spans="1:13" s="20" customFormat="1" ht="24.75" customHeight="1">
      <c r="A688" s="41"/>
      <c r="B688" s="17"/>
      <c r="C688" s="51"/>
      <c r="D688" s="139"/>
      <c r="E688" s="18"/>
      <c r="F688" s="28"/>
      <c r="G688" s="118"/>
      <c r="H688" s="35"/>
      <c r="I688" s="127"/>
      <c r="J688" s="122"/>
      <c r="K688" s="19"/>
      <c r="L688" s="19"/>
      <c r="M688" s="16"/>
    </row>
    <row r="689" spans="1:13" s="20" customFormat="1" ht="24.75" customHeight="1">
      <c r="A689" s="41"/>
      <c r="B689" s="17"/>
      <c r="C689" s="51"/>
      <c r="D689" s="139"/>
      <c r="E689" s="18"/>
      <c r="F689" s="28"/>
      <c r="G689" s="118"/>
      <c r="H689" s="35"/>
      <c r="I689" s="127"/>
      <c r="J689" s="122"/>
      <c r="K689" s="19"/>
      <c r="L689" s="19"/>
      <c r="M689" s="16"/>
    </row>
    <row r="690" spans="1:13" s="20" customFormat="1" ht="24.75" customHeight="1">
      <c r="A690" s="41"/>
      <c r="B690" s="17"/>
      <c r="C690" s="51"/>
      <c r="D690" s="139"/>
      <c r="E690" s="18"/>
      <c r="F690" s="28"/>
      <c r="G690" s="118"/>
      <c r="H690" s="35"/>
      <c r="I690" s="127"/>
      <c r="J690" s="122"/>
      <c r="K690" s="19"/>
      <c r="L690" s="19"/>
      <c r="M690" s="16"/>
    </row>
    <row r="691" spans="1:13" s="20" customFormat="1" ht="24.75" customHeight="1">
      <c r="A691" s="41"/>
      <c r="B691" s="17"/>
      <c r="C691" s="51"/>
      <c r="D691" s="139"/>
      <c r="E691" s="18"/>
      <c r="F691" s="28"/>
      <c r="G691" s="118"/>
      <c r="H691" s="35"/>
      <c r="I691" s="127"/>
      <c r="J691" s="122"/>
      <c r="K691" s="19"/>
      <c r="L691" s="19"/>
      <c r="M691" s="16"/>
    </row>
    <row r="692" spans="1:13" s="20" customFormat="1" ht="24.75" customHeight="1">
      <c r="A692" s="41"/>
      <c r="B692" s="17"/>
      <c r="C692" s="51"/>
      <c r="D692" s="139"/>
      <c r="E692" s="18"/>
      <c r="F692" s="28"/>
      <c r="G692" s="118"/>
      <c r="H692" s="35"/>
      <c r="I692" s="127"/>
      <c r="J692" s="122"/>
      <c r="K692" s="19"/>
      <c r="L692" s="19"/>
      <c r="M692" s="16"/>
    </row>
    <row r="693" spans="1:13" s="20" customFormat="1" ht="24.75" customHeight="1">
      <c r="A693" s="41"/>
      <c r="B693" s="17"/>
      <c r="C693" s="51"/>
      <c r="D693" s="139"/>
      <c r="E693" s="18"/>
      <c r="F693" s="28"/>
      <c r="G693" s="118"/>
      <c r="H693" s="35"/>
      <c r="I693" s="127"/>
      <c r="J693" s="122"/>
      <c r="K693" s="19"/>
      <c r="L693" s="19"/>
      <c r="M693" s="16"/>
    </row>
    <row r="694" spans="1:13" s="20" customFormat="1" ht="24.75" customHeight="1">
      <c r="A694" s="41"/>
      <c r="B694" s="17"/>
      <c r="C694" s="51"/>
      <c r="D694" s="139"/>
      <c r="E694" s="18"/>
      <c r="F694" s="28"/>
      <c r="G694" s="118"/>
      <c r="H694" s="35"/>
      <c r="I694" s="127"/>
      <c r="J694" s="122"/>
      <c r="K694" s="19"/>
      <c r="L694" s="19"/>
      <c r="M694" s="16"/>
    </row>
    <row r="695" spans="1:13" s="20" customFormat="1" ht="24.75" customHeight="1">
      <c r="A695" s="41"/>
      <c r="B695" s="17"/>
      <c r="C695" s="51"/>
      <c r="D695" s="139"/>
      <c r="E695" s="18"/>
      <c r="F695" s="28"/>
      <c r="G695" s="118"/>
      <c r="H695" s="35"/>
      <c r="I695" s="127"/>
      <c r="J695" s="122"/>
      <c r="K695" s="19"/>
      <c r="L695" s="19"/>
      <c r="M695" s="16"/>
    </row>
    <row r="696" spans="1:13" s="20" customFormat="1" ht="24.75" customHeight="1">
      <c r="A696" s="41"/>
      <c r="B696" s="17"/>
      <c r="C696" s="51"/>
      <c r="D696" s="139"/>
      <c r="E696" s="18"/>
      <c r="F696" s="28"/>
      <c r="G696" s="118"/>
      <c r="H696" s="35"/>
      <c r="I696" s="127"/>
      <c r="J696" s="122"/>
      <c r="K696" s="19"/>
      <c r="L696" s="19"/>
      <c r="M696" s="16"/>
    </row>
    <row r="697" spans="1:13" s="20" customFormat="1" ht="24.75" customHeight="1">
      <c r="A697" s="41"/>
      <c r="B697" s="17"/>
      <c r="C697" s="51"/>
      <c r="D697" s="139"/>
      <c r="E697" s="18"/>
      <c r="F697" s="28"/>
      <c r="G697" s="118"/>
      <c r="H697" s="35"/>
      <c r="I697" s="127"/>
      <c r="J697" s="122"/>
      <c r="K697" s="19"/>
      <c r="L697" s="19"/>
      <c r="M697" s="16"/>
    </row>
    <row r="698" spans="1:13" s="20" customFormat="1" ht="24.75" customHeight="1">
      <c r="A698" s="41"/>
      <c r="B698" s="17"/>
      <c r="C698" s="51"/>
      <c r="D698" s="139"/>
      <c r="E698" s="18"/>
      <c r="F698" s="28"/>
      <c r="G698" s="118"/>
      <c r="H698" s="35"/>
      <c r="I698" s="127"/>
      <c r="J698" s="122"/>
      <c r="K698" s="19"/>
      <c r="L698" s="19"/>
      <c r="M698" s="16"/>
    </row>
    <row r="699" spans="1:13" s="20" customFormat="1" ht="24.75" customHeight="1">
      <c r="A699" s="41"/>
      <c r="B699" s="17"/>
      <c r="C699" s="51"/>
      <c r="D699" s="139"/>
      <c r="E699" s="18"/>
      <c r="F699" s="28"/>
      <c r="G699" s="118"/>
      <c r="H699" s="35"/>
      <c r="I699" s="127"/>
      <c r="J699" s="122"/>
      <c r="K699" s="19"/>
      <c r="L699" s="19"/>
      <c r="M699" s="16"/>
    </row>
    <row r="700" spans="1:13" s="20" customFormat="1" ht="24.75" customHeight="1">
      <c r="A700" s="41"/>
      <c r="B700" s="17"/>
      <c r="C700" s="51"/>
      <c r="D700" s="139"/>
      <c r="E700" s="18"/>
      <c r="F700" s="28"/>
      <c r="G700" s="118"/>
      <c r="H700" s="35"/>
      <c r="I700" s="127"/>
      <c r="J700" s="122"/>
      <c r="K700" s="19"/>
      <c r="L700" s="19"/>
      <c r="M700" s="16"/>
    </row>
    <row r="701" spans="1:13" s="20" customFormat="1" ht="24.75" customHeight="1">
      <c r="A701" s="41"/>
      <c r="B701" s="17"/>
      <c r="C701" s="51"/>
      <c r="D701" s="139"/>
      <c r="E701" s="18"/>
      <c r="F701" s="28"/>
      <c r="G701" s="118"/>
      <c r="H701" s="35"/>
      <c r="I701" s="127"/>
      <c r="J701" s="122"/>
      <c r="K701" s="19"/>
      <c r="L701" s="19"/>
      <c r="M701" s="16"/>
    </row>
    <row r="702" spans="1:13" s="20" customFormat="1" ht="24.75" customHeight="1">
      <c r="A702" s="41"/>
      <c r="B702" s="17"/>
      <c r="C702" s="51"/>
      <c r="D702" s="139"/>
      <c r="E702" s="18"/>
      <c r="F702" s="28"/>
      <c r="G702" s="118"/>
      <c r="H702" s="35"/>
      <c r="I702" s="127"/>
      <c r="J702" s="122"/>
      <c r="K702" s="19"/>
      <c r="L702" s="19"/>
      <c r="M702" s="16"/>
    </row>
    <row r="703" spans="1:13" s="20" customFormat="1" ht="24.75" customHeight="1">
      <c r="A703" s="41"/>
      <c r="B703" s="17"/>
      <c r="C703" s="51"/>
      <c r="D703" s="139"/>
      <c r="E703" s="18"/>
      <c r="F703" s="28"/>
      <c r="G703" s="118"/>
      <c r="H703" s="35"/>
      <c r="I703" s="127"/>
      <c r="J703" s="122"/>
      <c r="K703" s="19"/>
      <c r="L703" s="19"/>
      <c r="M703" s="16"/>
    </row>
    <row r="704" spans="1:13" s="20" customFormat="1" ht="24.75" customHeight="1">
      <c r="A704" s="41"/>
      <c r="B704" s="17"/>
      <c r="C704" s="51"/>
      <c r="D704" s="139"/>
      <c r="E704" s="18"/>
      <c r="F704" s="28"/>
      <c r="G704" s="118"/>
      <c r="H704" s="35"/>
      <c r="I704" s="127"/>
      <c r="J704" s="122"/>
      <c r="K704" s="19"/>
      <c r="L704" s="19"/>
      <c r="M704" s="16"/>
    </row>
    <row r="705" spans="1:13" s="20" customFormat="1" ht="24.75" customHeight="1">
      <c r="A705" s="41"/>
      <c r="B705" s="17"/>
      <c r="C705" s="51"/>
      <c r="D705" s="139"/>
      <c r="E705" s="18"/>
      <c r="F705" s="28"/>
      <c r="G705" s="118"/>
      <c r="H705" s="35"/>
      <c r="I705" s="127"/>
      <c r="J705" s="122"/>
      <c r="K705" s="19"/>
      <c r="L705" s="19"/>
      <c r="M705" s="16"/>
    </row>
    <row r="706" spans="1:13" s="20" customFormat="1" ht="24.75" customHeight="1">
      <c r="A706" s="41"/>
      <c r="B706" s="17"/>
      <c r="C706" s="51"/>
      <c r="D706" s="139"/>
      <c r="E706" s="18"/>
      <c r="F706" s="28"/>
      <c r="G706" s="118"/>
      <c r="H706" s="35"/>
      <c r="I706" s="127"/>
      <c r="J706" s="122"/>
      <c r="K706" s="19"/>
      <c r="L706" s="19"/>
      <c r="M706" s="16"/>
    </row>
    <row r="707" spans="1:13" s="20" customFormat="1" ht="24.75" customHeight="1">
      <c r="A707" s="41"/>
      <c r="B707" s="17"/>
      <c r="C707" s="51"/>
      <c r="D707" s="139"/>
      <c r="E707" s="18"/>
      <c r="F707" s="28"/>
      <c r="G707" s="118"/>
      <c r="H707" s="35"/>
      <c r="I707" s="127"/>
      <c r="J707" s="122"/>
      <c r="K707" s="19"/>
      <c r="L707" s="19"/>
      <c r="M707" s="16"/>
    </row>
    <row r="708" spans="1:13" s="20" customFormat="1" ht="24.75" customHeight="1">
      <c r="A708" s="41"/>
      <c r="B708" s="17"/>
      <c r="C708" s="51"/>
      <c r="D708" s="139"/>
      <c r="E708" s="18"/>
      <c r="F708" s="28"/>
      <c r="G708" s="118"/>
      <c r="H708" s="35"/>
      <c r="I708" s="127"/>
      <c r="J708" s="122"/>
      <c r="K708" s="19"/>
      <c r="L708" s="19"/>
      <c r="M708" s="16"/>
    </row>
    <row r="709" spans="1:13" s="20" customFormat="1" ht="24.75" customHeight="1">
      <c r="A709" s="41"/>
      <c r="B709" s="17"/>
      <c r="C709" s="51"/>
      <c r="D709" s="139"/>
      <c r="E709" s="18"/>
      <c r="F709" s="28"/>
      <c r="G709" s="118"/>
      <c r="H709" s="35"/>
      <c r="I709" s="127"/>
      <c r="J709" s="122"/>
      <c r="K709" s="19"/>
      <c r="L709" s="19"/>
      <c r="M709" s="16"/>
    </row>
    <row r="710" spans="1:13" s="20" customFormat="1" ht="24.75" customHeight="1">
      <c r="A710" s="41"/>
      <c r="B710" s="17"/>
      <c r="C710" s="51"/>
      <c r="D710" s="139"/>
      <c r="E710" s="18"/>
      <c r="F710" s="28"/>
      <c r="G710" s="118"/>
      <c r="H710" s="35"/>
      <c r="I710" s="127"/>
      <c r="J710" s="122"/>
      <c r="K710" s="19"/>
      <c r="L710" s="19"/>
      <c r="M710" s="16"/>
    </row>
    <row r="711" spans="1:13" s="20" customFormat="1" ht="24.75" customHeight="1">
      <c r="A711" s="41"/>
      <c r="B711" s="17"/>
      <c r="C711" s="51"/>
      <c r="D711" s="139"/>
      <c r="E711" s="18"/>
      <c r="F711" s="28"/>
      <c r="G711" s="118"/>
      <c r="H711" s="35"/>
      <c r="I711" s="127"/>
      <c r="J711" s="122"/>
      <c r="K711" s="19"/>
      <c r="L711" s="19"/>
      <c r="M711" s="16"/>
    </row>
    <row r="712" spans="1:13" s="20" customFormat="1" ht="24.75" customHeight="1">
      <c r="A712" s="41"/>
      <c r="B712" s="17"/>
      <c r="C712" s="51"/>
      <c r="D712" s="139"/>
      <c r="E712" s="18"/>
      <c r="F712" s="28"/>
      <c r="G712" s="118"/>
      <c r="H712" s="35"/>
      <c r="I712" s="127"/>
      <c r="J712" s="122"/>
      <c r="K712" s="19"/>
      <c r="L712" s="19"/>
      <c r="M712" s="16"/>
    </row>
    <row r="713" spans="1:13" s="20" customFormat="1" ht="24.75" customHeight="1">
      <c r="A713" s="41"/>
      <c r="B713" s="17"/>
      <c r="C713" s="51"/>
      <c r="D713" s="139"/>
      <c r="E713" s="18"/>
      <c r="F713" s="28"/>
      <c r="G713" s="118"/>
      <c r="H713" s="35"/>
      <c r="I713" s="127"/>
      <c r="J713" s="122"/>
      <c r="K713" s="19"/>
      <c r="L713" s="19"/>
      <c r="M713" s="16"/>
    </row>
    <row r="714" spans="1:13" s="20" customFormat="1" ht="24.75" customHeight="1">
      <c r="A714" s="41"/>
      <c r="B714" s="17"/>
      <c r="C714" s="51"/>
      <c r="D714" s="139"/>
      <c r="E714" s="18"/>
      <c r="F714" s="28"/>
      <c r="G714" s="118"/>
      <c r="H714" s="35"/>
      <c r="I714" s="127"/>
      <c r="J714" s="122"/>
      <c r="K714" s="19"/>
      <c r="L714" s="19"/>
      <c r="M714" s="16"/>
    </row>
    <row r="715" spans="1:13" s="20" customFormat="1" ht="24.75" customHeight="1">
      <c r="A715" s="41"/>
      <c r="B715" s="17"/>
      <c r="C715" s="51"/>
      <c r="D715" s="139"/>
      <c r="E715" s="18"/>
      <c r="F715" s="28"/>
      <c r="G715" s="118"/>
      <c r="H715" s="35"/>
      <c r="I715" s="127"/>
      <c r="J715" s="122"/>
      <c r="K715" s="19"/>
      <c r="L715" s="19"/>
      <c r="M715" s="16"/>
    </row>
    <row r="716" spans="1:13" s="20" customFormat="1" ht="24.75" customHeight="1">
      <c r="A716" s="41"/>
      <c r="B716" s="17"/>
      <c r="C716" s="51"/>
      <c r="D716" s="139"/>
      <c r="E716" s="18"/>
      <c r="F716" s="28"/>
      <c r="G716" s="118"/>
      <c r="H716" s="35"/>
      <c r="I716" s="127"/>
      <c r="J716" s="122"/>
      <c r="K716" s="19"/>
      <c r="L716" s="19"/>
      <c r="M716" s="16"/>
    </row>
    <row r="717" spans="1:13" s="20" customFormat="1" ht="24.75" customHeight="1">
      <c r="A717" s="41"/>
      <c r="B717" s="17"/>
      <c r="C717" s="51"/>
      <c r="D717" s="139"/>
      <c r="E717" s="18"/>
      <c r="F717" s="28"/>
      <c r="G717" s="118"/>
      <c r="H717" s="35"/>
      <c r="I717" s="127"/>
      <c r="J717" s="122"/>
      <c r="K717" s="19"/>
      <c r="L717" s="19"/>
      <c r="M717" s="16"/>
    </row>
    <row r="718" spans="1:13" s="20" customFormat="1" ht="24.75" customHeight="1">
      <c r="A718" s="41"/>
      <c r="B718" s="17"/>
      <c r="C718" s="51"/>
      <c r="D718" s="139"/>
      <c r="E718" s="18"/>
      <c r="F718" s="28"/>
      <c r="G718" s="118"/>
      <c r="H718" s="35"/>
      <c r="I718" s="127"/>
      <c r="J718" s="122"/>
      <c r="K718" s="19"/>
      <c r="L718" s="19"/>
      <c r="M718" s="16"/>
    </row>
    <row r="719" spans="1:13" s="20" customFormat="1" ht="24.75" customHeight="1">
      <c r="A719" s="41"/>
      <c r="B719" s="17"/>
      <c r="C719" s="51"/>
      <c r="D719" s="139"/>
      <c r="E719" s="18"/>
      <c r="F719" s="28"/>
      <c r="G719" s="118"/>
      <c r="H719" s="35"/>
      <c r="I719" s="127"/>
      <c r="J719" s="122"/>
      <c r="K719" s="19"/>
      <c r="L719" s="19"/>
      <c r="M719" s="16"/>
    </row>
    <row r="720" spans="1:13" s="20" customFormat="1" ht="24.75" customHeight="1">
      <c r="A720" s="41"/>
      <c r="B720" s="17"/>
      <c r="C720" s="51"/>
      <c r="D720" s="139"/>
      <c r="E720" s="18"/>
      <c r="F720" s="28"/>
      <c r="G720" s="118"/>
      <c r="H720" s="35"/>
      <c r="I720" s="127"/>
      <c r="J720" s="122"/>
      <c r="K720" s="19"/>
      <c r="L720" s="19"/>
      <c r="M720" s="16"/>
    </row>
    <row r="721" spans="1:13" s="20" customFormat="1" ht="24.75" customHeight="1">
      <c r="A721" s="41"/>
      <c r="B721" s="17"/>
      <c r="C721" s="51"/>
      <c r="D721" s="139"/>
      <c r="E721" s="18"/>
      <c r="F721" s="28"/>
      <c r="G721" s="118"/>
      <c r="H721" s="35"/>
      <c r="I721" s="127"/>
      <c r="J721" s="122"/>
      <c r="K721" s="19"/>
      <c r="L721" s="19"/>
      <c r="M721" s="16"/>
    </row>
    <row r="722" spans="1:13" s="20" customFormat="1" ht="24.75" customHeight="1">
      <c r="A722" s="41"/>
      <c r="B722" s="17"/>
      <c r="C722" s="51"/>
      <c r="D722" s="139"/>
      <c r="E722" s="18"/>
      <c r="F722" s="28"/>
      <c r="G722" s="118"/>
      <c r="H722" s="35"/>
      <c r="I722" s="127"/>
      <c r="J722" s="122"/>
      <c r="K722" s="19"/>
      <c r="L722" s="19"/>
      <c r="M722" s="16"/>
    </row>
    <row r="723" spans="1:13" s="20" customFormat="1" ht="24.75" customHeight="1">
      <c r="A723" s="41"/>
      <c r="B723" s="17"/>
      <c r="C723" s="51"/>
      <c r="D723" s="139"/>
      <c r="E723" s="18"/>
      <c r="F723" s="28"/>
      <c r="G723" s="118"/>
      <c r="H723" s="35"/>
      <c r="I723" s="127"/>
      <c r="J723" s="122"/>
      <c r="K723" s="19"/>
      <c r="L723" s="19"/>
      <c r="M723" s="16"/>
    </row>
    <row r="724" spans="1:13" s="20" customFormat="1" ht="24.75" customHeight="1">
      <c r="A724" s="41"/>
      <c r="B724" s="17"/>
      <c r="C724" s="51"/>
      <c r="D724" s="139"/>
      <c r="E724" s="18"/>
      <c r="F724" s="28"/>
      <c r="G724" s="118"/>
      <c r="H724" s="35"/>
      <c r="I724" s="127"/>
      <c r="J724" s="122"/>
      <c r="K724" s="19"/>
      <c r="L724" s="19"/>
      <c r="M724" s="16"/>
    </row>
    <row r="725" spans="1:13" s="20" customFormat="1" ht="24.75" customHeight="1">
      <c r="A725" s="41"/>
      <c r="B725" s="17"/>
      <c r="C725" s="51"/>
      <c r="D725" s="139"/>
      <c r="E725" s="18"/>
      <c r="F725" s="28"/>
      <c r="G725" s="118"/>
      <c r="H725" s="35"/>
      <c r="I725" s="127"/>
      <c r="J725" s="122"/>
      <c r="K725" s="19"/>
      <c r="L725" s="19"/>
      <c r="M725" s="16"/>
    </row>
    <row r="726" spans="1:13" s="20" customFormat="1" ht="24.75" customHeight="1">
      <c r="A726" s="41"/>
      <c r="B726" s="17"/>
      <c r="C726" s="51"/>
      <c r="D726" s="139"/>
      <c r="E726" s="18"/>
      <c r="F726" s="28"/>
      <c r="G726" s="118"/>
      <c r="H726" s="35"/>
      <c r="I726" s="127"/>
      <c r="J726" s="122"/>
      <c r="K726" s="19"/>
      <c r="L726" s="19"/>
      <c r="M726" s="16"/>
    </row>
    <row r="727" spans="1:13" s="20" customFormat="1" ht="24.75" customHeight="1">
      <c r="A727" s="41"/>
      <c r="B727" s="17"/>
      <c r="C727" s="51"/>
      <c r="D727" s="139"/>
      <c r="E727" s="18"/>
      <c r="F727" s="28"/>
      <c r="G727" s="118"/>
      <c r="H727" s="35"/>
      <c r="I727" s="127"/>
      <c r="J727" s="122"/>
      <c r="K727" s="19"/>
      <c r="L727" s="19"/>
      <c r="M727" s="16"/>
    </row>
    <row r="728" spans="1:13" s="20" customFormat="1" ht="24.75" customHeight="1">
      <c r="A728" s="41"/>
      <c r="B728" s="17"/>
      <c r="C728" s="51"/>
      <c r="D728" s="139"/>
      <c r="E728" s="18"/>
      <c r="F728" s="28"/>
      <c r="G728" s="118"/>
      <c r="H728" s="35"/>
      <c r="I728" s="127"/>
      <c r="J728" s="122"/>
      <c r="K728" s="19"/>
      <c r="L728" s="19"/>
      <c r="M728" s="16"/>
    </row>
    <row r="729" spans="1:13" s="20" customFormat="1" ht="24.75" customHeight="1">
      <c r="A729" s="41"/>
      <c r="B729" s="17"/>
      <c r="C729" s="51"/>
      <c r="D729" s="139"/>
      <c r="E729" s="18"/>
      <c r="F729" s="28"/>
      <c r="G729" s="118"/>
      <c r="H729" s="35"/>
      <c r="I729" s="127"/>
      <c r="J729" s="122"/>
      <c r="K729" s="19"/>
      <c r="L729" s="19"/>
      <c r="M729" s="16"/>
    </row>
    <row r="730" spans="1:13" s="20" customFormat="1" ht="24.75" customHeight="1">
      <c r="A730" s="41"/>
      <c r="B730" s="17"/>
      <c r="C730" s="51"/>
      <c r="D730" s="139"/>
      <c r="E730" s="18"/>
      <c r="F730" s="28"/>
      <c r="G730" s="118"/>
      <c r="H730" s="35"/>
      <c r="I730" s="127"/>
      <c r="J730" s="122"/>
      <c r="K730" s="19"/>
      <c r="L730" s="19"/>
      <c r="M730" s="16"/>
    </row>
    <row r="731" spans="1:13" s="20" customFormat="1" ht="24.75" customHeight="1">
      <c r="A731" s="41"/>
      <c r="B731" s="17"/>
      <c r="C731" s="51"/>
      <c r="D731" s="139"/>
      <c r="E731" s="18"/>
      <c r="F731" s="28"/>
      <c r="G731" s="118"/>
      <c r="H731" s="35"/>
      <c r="I731" s="127"/>
      <c r="J731" s="122"/>
      <c r="K731" s="19"/>
      <c r="L731" s="19"/>
      <c r="M731" s="16"/>
    </row>
    <row r="732" spans="1:13" s="20" customFormat="1" ht="24.75" customHeight="1">
      <c r="A732" s="41"/>
      <c r="B732" s="17"/>
      <c r="C732" s="51"/>
      <c r="D732" s="139"/>
      <c r="E732" s="18"/>
      <c r="F732" s="28"/>
      <c r="G732" s="118"/>
      <c r="H732" s="35"/>
      <c r="I732" s="127"/>
      <c r="J732" s="122"/>
      <c r="K732" s="19"/>
      <c r="L732" s="19"/>
      <c r="M732" s="16"/>
    </row>
    <row r="733" spans="1:13" s="20" customFormat="1" ht="24.75" customHeight="1">
      <c r="A733" s="41"/>
      <c r="B733" s="17"/>
      <c r="C733" s="51"/>
      <c r="D733" s="139"/>
      <c r="E733" s="18"/>
      <c r="F733" s="28"/>
      <c r="G733" s="118"/>
      <c r="H733" s="35"/>
      <c r="I733" s="127"/>
      <c r="J733" s="122"/>
      <c r="K733" s="19"/>
      <c r="L733" s="19"/>
      <c r="M733" s="16"/>
    </row>
    <row r="734" spans="1:13" s="20" customFormat="1" ht="24.75" customHeight="1">
      <c r="A734" s="41"/>
      <c r="B734" s="17"/>
      <c r="C734" s="51"/>
      <c r="D734" s="139"/>
      <c r="E734" s="18"/>
      <c r="F734" s="28"/>
      <c r="G734" s="118"/>
      <c r="H734" s="35"/>
      <c r="I734" s="127"/>
      <c r="J734" s="122"/>
      <c r="K734" s="19"/>
      <c r="L734" s="19"/>
      <c r="M734" s="16"/>
    </row>
    <row r="735" spans="1:13" s="20" customFormat="1" ht="24.75" customHeight="1">
      <c r="A735" s="41"/>
      <c r="B735" s="17"/>
      <c r="C735" s="51"/>
      <c r="D735" s="139"/>
      <c r="E735" s="18"/>
      <c r="F735" s="28"/>
      <c r="G735" s="118"/>
      <c r="H735" s="35"/>
      <c r="I735" s="127"/>
      <c r="J735" s="122"/>
      <c r="K735" s="19"/>
      <c r="L735" s="19"/>
      <c r="M735" s="16"/>
    </row>
    <row r="736" spans="1:13" s="20" customFormat="1" ht="24.75" customHeight="1">
      <c r="A736" s="41"/>
      <c r="B736" s="17"/>
      <c r="C736" s="51"/>
      <c r="D736" s="139"/>
      <c r="E736" s="18"/>
      <c r="F736" s="28"/>
      <c r="G736" s="118"/>
      <c r="H736" s="35"/>
      <c r="I736" s="127"/>
      <c r="J736" s="122"/>
      <c r="K736" s="19"/>
      <c r="L736" s="19"/>
      <c r="M736" s="16"/>
    </row>
    <row r="737" spans="1:13" s="20" customFormat="1" ht="24.75" customHeight="1">
      <c r="A737" s="41"/>
      <c r="B737" s="17"/>
      <c r="C737" s="51"/>
      <c r="D737" s="139"/>
      <c r="E737" s="18"/>
      <c r="F737" s="28"/>
      <c r="G737" s="118"/>
      <c r="H737" s="35"/>
      <c r="I737" s="127"/>
      <c r="J737" s="122"/>
      <c r="K737" s="19"/>
      <c r="L737" s="19"/>
      <c r="M737" s="16"/>
    </row>
    <row r="738" spans="1:13" s="20" customFormat="1" ht="24.75" customHeight="1">
      <c r="A738" s="41"/>
      <c r="B738" s="17"/>
      <c r="C738" s="51"/>
      <c r="D738" s="139"/>
      <c r="E738" s="18"/>
      <c r="F738" s="28"/>
      <c r="G738" s="118"/>
      <c r="H738" s="35"/>
      <c r="I738" s="127"/>
      <c r="J738" s="122"/>
      <c r="K738" s="19"/>
      <c r="L738" s="19"/>
      <c r="M738" s="16"/>
    </row>
    <row r="739" spans="1:13" s="20" customFormat="1" ht="24.75" customHeight="1">
      <c r="A739" s="41"/>
      <c r="B739" s="17"/>
      <c r="C739" s="51"/>
      <c r="D739" s="139"/>
      <c r="E739" s="18"/>
      <c r="F739" s="28"/>
      <c r="G739" s="118"/>
      <c r="H739" s="35"/>
      <c r="I739" s="127"/>
      <c r="J739" s="122"/>
      <c r="K739" s="19"/>
      <c r="L739" s="19"/>
      <c r="M739" s="16"/>
    </row>
    <row r="740" spans="1:13" s="20" customFormat="1" ht="24.75" customHeight="1">
      <c r="A740" s="41"/>
      <c r="B740" s="17"/>
      <c r="C740" s="51"/>
      <c r="D740" s="139"/>
      <c r="E740" s="18"/>
      <c r="F740" s="28"/>
      <c r="G740" s="118"/>
      <c r="H740" s="35"/>
      <c r="I740" s="127"/>
      <c r="J740" s="122"/>
      <c r="K740" s="19"/>
      <c r="L740" s="19"/>
      <c r="M740" s="16"/>
    </row>
    <row r="741" spans="1:13" s="20" customFormat="1" ht="24.75" customHeight="1">
      <c r="A741" s="41"/>
      <c r="B741" s="17"/>
      <c r="C741" s="51"/>
      <c r="D741" s="139"/>
      <c r="E741" s="18"/>
      <c r="F741" s="28"/>
      <c r="G741" s="118"/>
      <c r="H741" s="35"/>
      <c r="I741" s="127"/>
      <c r="J741" s="122"/>
      <c r="K741" s="19"/>
      <c r="L741" s="19"/>
      <c r="M741" s="16"/>
    </row>
    <row r="742" spans="1:13" s="20" customFormat="1" ht="24.75" customHeight="1">
      <c r="A742" s="41"/>
      <c r="B742" s="17"/>
      <c r="C742" s="51"/>
      <c r="D742" s="139"/>
      <c r="E742" s="18"/>
      <c r="F742" s="28"/>
      <c r="G742" s="118"/>
      <c r="H742" s="35"/>
      <c r="I742" s="127"/>
      <c r="J742" s="122"/>
      <c r="K742" s="19"/>
      <c r="L742" s="19"/>
      <c r="M742" s="16"/>
    </row>
    <row r="743" spans="1:13" s="20" customFormat="1" ht="24.75" customHeight="1">
      <c r="A743" s="41"/>
      <c r="B743" s="17"/>
      <c r="C743" s="51"/>
      <c r="D743" s="139"/>
      <c r="E743" s="18"/>
      <c r="F743" s="28"/>
      <c r="G743" s="118"/>
      <c r="H743" s="35"/>
      <c r="I743" s="127"/>
      <c r="J743" s="122"/>
      <c r="K743" s="19"/>
      <c r="L743" s="19"/>
      <c r="M743" s="16"/>
    </row>
    <row r="744" spans="1:13" s="20" customFormat="1" ht="24.75" customHeight="1">
      <c r="A744" s="41"/>
      <c r="B744" s="17"/>
      <c r="C744" s="51"/>
      <c r="D744" s="139"/>
      <c r="E744" s="18"/>
      <c r="F744" s="28"/>
      <c r="G744" s="118"/>
      <c r="H744" s="35"/>
      <c r="I744" s="127"/>
      <c r="J744" s="122"/>
      <c r="K744" s="19"/>
      <c r="L744" s="19"/>
      <c r="M744" s="16"/>
    </row>
    <row r="745" spans="1:13" s="20" customFormat="1" ht="24.75" customHeight="1">
      <c r="A745" s="41"/>
      <c r="B745" s="17"/>
      <c r="C745" s="51"/>
      <c r="D745" s="139"/>
      <c r="E745" s="18"/>
      <c r="F745" s="28"/>
      <c r="G745" s="118"/>
      <c r="H745" s="35"/>
      <c r="I745" s="127"/>
      <c r="J745" s="122"/>
      <c r="K745" s="19"/>
      <c r="L745" s="19"/>
      <c r="M745" s="16"/>
    </row>
    <row r="746" spans="1:13" s="20" customFormat="1" ht="24.75" customHeight="1">
      <c r="A746" s="41"/>
      <c r="B746" s="17"/>
      <c r="C746" s="51"/>
      <c r="D746" s="139"/>
      <c r="E746" s="18"/>
      <c r="F746" s="28"/>
      <c r="G746" s="118"/>
      <c r="H746" s="35"/>
      <c r="I746" s="127"/>
      <c r="J746" s="122"/>
      <c r="K746" s="19"/>
      <c r="L746" s="19"/>
      <c r="M746" s="16"/>
    </row>
    <row r="747" spans="1:13" s="20" customFormat="1" ht="24.75" customHeight="1">
      <c r="A747" s="41"/>
      <c r="B747" s="17"/>
      <c r="C747" s="51"/>
      <c r="D747" s="139"/>
      <c r="E747" s="18"/>
      <c r="F747" s="28"/>
      <c r="G747" s="118"/>
      <c r="H747" s="35"/>
      <c r="I747" s="127"/>
      <c r="J747" s="122"/>
      <c r="K747" s="19"/>
      <c r="L747" s="19"/>
      <c r="M747" s="16"/>
    </row>
    <row r="748" spans="1:13" s="20" customFormat="1" ht="24.75" customHeight="1">
      <c r="A748" s="41"/>
      <c r="B748" s="17"/>
      <c r="C748" s="51"/>
      <c r="D748" s="139"/>
      <c r="E748" s="18"/>
      <c r="F748" s="28"/>
      <c r="G748" s="118"/>
      <c r="H748" s="35"/>
      <c r="I748" s="127"/>
      <c r="J748" s="122"/>
      <c r="K748" s="19"/>
      <c r="L748" s="19"/>
      <c r="M748" s="16"/>
    </row>
    <row r="749" spans="1:13" s="20" customFormat="1" ht="24.75" customHeight="1">
      <c r="A749" s="41"/>
      <c r="B749" s="17"/>
      <c r="C749" s="51"/>
      <c r="D749" s="139"/>
      <c r="E749" s="18"/>
      <c r="F749" s="28"/>
      <c r="G749" s="118"/>
      <c r="H749" s="35"/>
      <c r="I749" s="127"/>
      <c r="J749" s="122"/>
      <c r="K749" s="19"/>
      <c r="L749" s="19"/>
      <c r="M749" s="16"/>
    </row>
    <row r="750" spans="1:13" s="20" customFormat="1" ht="24.75" customHeight="1">
      <c r="A750" s="41"/>
      <c r="B750" s="17"/>
      <c r="C750" s="51"/>
      <c r="D750" s="139"/>
      <c r="E750" s="18"/>
      <c r="F750" s="28"/>
      <c r="G750" s="118"/>
      <c r="H750" s="35"/>
      <c r="I750" s="127"/>
      <c r="J750" s="122"/>
      <c r="K750" s="19"/>
      <c r="L750" s="19"/>
      <c r="M750" s="16"/>
    </row>
    <row r="751" spans="1:13" s="20" customFormat="1" ht="24.75" customHeight="1">
      <c r="A751" s="41"/>
      <c r="B751" s="17"/>
      <c r="C751" s="51"/>
      <c r="D751" s="139"/>
      <c r="E751" s="18"/>
      <c r="F751" s="28"/>
      <c r="G751" s="118"/>
      <c r="H751" s="35"/>
      <c r="I751" s="127"/>
      <c r="J751" s="122"/>
      <c r="K751" s="19"/>
      <c r="L751" s="19"/>
      <c r="M751" s="16"/>
    </row>
    <row r="752" spans="1:13" s="20" customFormat="1" ht="24.75" customHeight="1">
      <c r="A752" s="41"/>
      <c r="B752" s="17"/>
      <c r="C752" s="51"/>
      <c r="D752" s="139"/>
      <c r="E752" s="18"/>
      <c r="F752" s="28"/>
      <c r="G752" s="118"/>
      <c r="H752" s="35"/>
      <c r="I752" s="127"/>
      <c r="J752" s="122"/>
      <c r="K752" s="19"/>
      <c r="L752" s="19"/>
      <c r="M752" s="16"/>
    </row>
    <row r="753" spans="1:13" s="20" customFormat="1" ht="24.75" customHeight="1">
      <c r="A753" s="41"/>
      <c r="B753" s="17"/>
      <c r="C753" s="51"/>
      <c r="D753" s="139"/>
      <c r="E753" s="18"/>
      <c r="F753" s="28"/>
      <c r="G753" s="118"/>
      <c r="H753" s="35"/>
      <c r="I753" s="127"/>
      <c r="J753" s="122"/>
      <c r="K753" s="19"/>
      <c r="L753" s="19"/>
      <c r="M753" s="16"/>
    </row>
    <row r="754" spans="1:13" s="20" customFormat="1" ht="24.75" customHeight="1">
      <c r="A754" s="41"/>
      <c r="B754" s="17"/>
      <c r="C754" s="51"/>
      <c r="D754" s="139"/>
      <c r="E754" s="18"/>
      <c r="F754" s="28"/>
      <c r="G754" s="118"/>
      <c r="H754" s="35"/>
      <c r="I754" s="127"/>
      <c r="J754" s="122"/>
      <c r="K754" s="19"/>
      <c r="L754" s="19"/>
      <c r="M754" s="16"/>
    </row>
    <row r="755" spans="1:13" s="20" customFormat="1" ht="24.75" customHeight="1">
      <c r="A755" s="41"/>
      <c r="B755" s="17"/>
      <c r="C755" s="51"/>
      <c r="D755" s="139"/>
      <c r="E755" s="18"/>
      <c r="F755" s="28"/>
      <c r="G755" s="118"/>
      <c r="H755" s="35"/>
      <c r="I755" s="127"/>
      <c r="J755" s="122"/>
      <c r="K755" s="19"/>
      <c r="L755" s="19"/>
      <c r="M755" s="16"/>
    </row>
    <row r="756" spans="1:13" s="20" customFormat="1" ht="24.75" customHeight="1">
      <c r="A756" s="41"/>
      <c r="B756" s="17"/>
      <c r="C756" s="51"/>
      <c r="D756" s="139"/>
      <c r="E756" s="18"/>
      <c r="F756" s="28"/>
      <c r="G756" s="118"/>
      <c r="H756" s="35"/>
      <c r="I756" s="127"/>
      <c r="J756" s="122"/>
      <c r="K756" s="19"/>
      <c r="L756" s="19"/>
      <c r="M756" s="16"/>
    </row>
    <row r="757" spans="1:13" s="20" customFormat="1" ht="24.75" customHeight="1">
      <c r="A757" s="41"/>
      <c r="B757" s="17"/>
      <c r="C757" s="51"/>
      <c r="D757" s="139"/>
      <c r="E757" s="18"/>
      <c r="F757" s="28"/>
      <c r="G757" s="118"/>
      <c r="H757" s="35"/>
      <c r="I757" s="127"/>
      <c r="J757" s="122"/>
      <c r="K757" s="19"/>
      <c r="L757" s="19"/>
      <c r="M757" s="16"/>
    </row>
    <row r="758" spans="1:13" s="20" customFormat="1" ht="24.75" customHeight="1">
      <c r="A758" s="41"/>
      <c r="B758" s="17"/>
      <c r="C758" s="51"/>
      <c r="D758" s="139"/>
      <c r="E758" s="18"/>
      <c r="F758" s="28"/>
      <c r="G758" s="118"/>
      <c r="H758" s="35"/>
      <c r="I758" s="127"/>
      <c r="J758" s="122"/>
      <c r="K758" s="19"/>
      <c r="L758" s="19"/>
      <c r="M758" s="16"/>
    </row>
    <row r="759" spans="1:13" s="20" customFormat="1" ht="24.75" customHeight="1">
      <c r="A759" s="41"/>
      <c r="B759" s="17"/>
      <c r="C759" s="51"/>
      <c r="D759" s="139"/>
      <c r="E759" s="18"/>
      <c r="F759" s="28"/>
      <c r="G759" s="118"/>
      <c r="H759" s="35"/>
      <c r="I759" s="127"/>
      <c r="J759" s="122"/>
      <c r="K759" s="19"/>
      <c r="L759" s="19"/>
      <c r="M759" s="16"/>
    </row>
    <row r="760" spans="1:13" s="20" customFormat="1" ht="24.75" customHeight="1">
      <c r="A760" s="41"/>
      <c r="B760" s="17"/>
      <c r="C760" s="51"/>
      <c r="D760" s="139"/>
      <c r="E760" s="18"/>
      <c r="F760" s="28"/>
      <c r="G760" s="118"/>
      <c r="H760" s="35"/>
      <c r="I760" s="127"/>
      <c r="J760" s="122"/>
      <c r="K760" s="19"/>
      <c r="L760" s="19"/>
      <c r="M760" s="16"/>
    </row>
    <row r="761" spans="1:13" s="20" customFormat="1" ht="24.75" customHeight="1">
      <c r="A761" s="41"/>
      <c r="B761" s="17"/>
      <c r="C761" s="51"/>
      <c r="D761" s="139"/>
      <c r="E761" s="18"/>
      <c r="F761" s="28"/>
      <c r="G761" s="118"/>
      <c r="H761" s="35"/>
      <c r="I761" s="127"/>
      <c r="J761" s="122"/>
      <c r="K761" s="19"/>
      <c r="L761" s="19"/>
      <c r="M761" s="16"/>
    </row>
    <row r="762" spans="1:13" s="20" customFormat="1" ht="24.75" customHeight="1">
      <c r="A762" s="41"/>
      <c r="B762" s="17"/>
      <c r="C762" s="51"/>
      <c r="D762" s="139"/>
      <c r="E762" s="18"/>
      <c r="F762" s="28"/>
      <c r="G762" s="118"/>
      <c r="H762" s="35"/>
      <c r="I762" s="127"/>
      <c r="J762" s="122"/>
      <c r="K762" s="19"/>
      <c r="L762" s="19"/>
      <c r="M762" s="16"/>
    </row>
    <row r="763" spans="1:13" s="20" customFormat="1" ht="24.75" customHeight="1">
      <c r="A763" s="41"/>
      <c r="B763" s="17"/>
      <c r="C763" s="51"/>
      <c r="D763" s="139"/>
      <c r="E763" s="18"/>
      <c r="F763" s="28"/>
      <c r="G763" s="118"/>
      <c r="H763" s="35"/>
      <c r="I763" s="127"/>
      <c r="J763" s="122"/>
      <c r="K763" s="19"/>
      <c r="L763" s="19"/>
      <c r="M763" s="16"/>
    </row>
    <row r="764" spans="1:13" s="20" customFormat="1" ht="24.75" customHeight="1">
      <c r="A764" s="41"/>
      <c r="B764" s="17"/>
      <c r="C764" s="51"/>
      <c r="D764" s="139"/>
      <c r="E764" s="18"/>
      <c r="F764" s="28"/>
      <c r="G764" s="118"/>
      <c r="H764" s="35"/>
      <c r="I764" s="127"/>
      <c r="J764" s="122"/>
      <c r="K764" s="19"/>
      <c r="L764" s="19"/>
      <c r="M764" s="16"/>
    </row>
    <row r="765" spans="1:13" s="20" customFormat="1" ht="24.75" customHeight="1">
      <c r="A765" s="41"/>
      <c r="B765" s="17"/>
      <c r="C765" s="51"/>
      <c r="D765" s="139"/>
      <c r="E765" s="18"/>
      <c r="F765" s="28"/>
      <c r="G765" s="118"/>
      <c r="H765" s="35"/>
      <c r="I765" s="127"/>
      <c r="J765" s="122"/>
      <c r="K765" s="19"/>
      <c r="L765" s="19"/>
      <c r="M765" s="16"/>
    </row>
    <row r="766" spans="1:13" s="20" customFormat="1" ht="24.75" customHeight="1">
      <c r="A766" s="41"/>
      <c r="B766" s="17"/>
      <c r="C766" s="51"/>
      <c r="D766" s="139"/>
      <c r="E766" s="18"/>
      <c r="F766" s="28"/>
      <c r="G766" s="118"/>
      <c r="H766" s="35"/>
      <c r="I766" s="127"/>
      <c r="J766" s="122"/>
      <c r="K766" s="19"/>
      <c r="L766" s="19"/>
      <c r="M766" s="16"/>
    </row>
    <row r="767" spans="1:13" s="20" customFormat="1" ht="24.75" customHeight="1">
      <c r="A767" s="41"/>
      <c r="B767" s="17"/>
      <c r="C767" s="51"/>
      <c r="D767" s="139"/>
      <c r="E767" s="18"/>
      <c r="F767" s="28"/>
      <c r="G767" s="118"/>
      <c r="H767" s="35"/>
      <c r="I767" s="127"/>
      <c r="J767" s="122"/>
      <c r="K767" s="19"/>
      <c r="L767" s="19"/>
      <c r="M767" s="16"/>
    </row>
    <row r="768" spans="1:13" s="20" customFormat="1" ht="24.75" customHeight="1">
      <c r="A768" s="41"/>
      <c r="B768" s="17"/>
      <c r="C768" s="51"/>
      <c r="D768" s="139"/>
      <c r="E768" s="18"/>
      <c r="F768" s="28"/>
      <c r="G768" s="118"/>
      <c r="H768" s="35"/>
      <c r="I768" s="127"/>
      <c r="J768" s="122"/>
      <c r="K768" s="19"/>
      <c r="L768" s="19"/>
      <c r="M768" s="16"/>
    </row>
    <row r="769" spans="1:13" s="20" customFormat="1" ht="24.75" customHeight="1">
      <c r="A769" s="41"/>
      <c r="B769" s="17"/>
      <c r="C769" s="51"/>
      <c r="D769" s="139"/>
      <c r="E769" s="18"/>
      <c r="F769" s="28"/>
      <c r="G769" s="118"/>
      <c r="H769" s="35"/>
      <c r="I769" s="127"/>
      <c r="J769" s="122"/>
      <c r="K769" s="19"/>
      <c r="L769" s="19"/>
      <c r="M769" s="16"/>
    </row>
    <row r="770" spans="1:13" s="20" customFormat="1" ht="24.75" customHeight="1">
      <c r="A770" s="41"/>
      <c r="B770" s="17"/>
      <c r="C770" s="51"/>
      <c r="D770" s="139"/>
      <c r="E770" s="18"/>
      <c r="F770" s="28"/>
      <c r="G770" s="118"/>
      <c r="H770" s="35"/>
      <c r="I770" s="127"/>
      <c r="J770" s="122"/>
      <c r="K770" s="19"/>
      <c r="L770" s="19"/>
      <c r="M770" s="16"/>
    </row>
    <row r="771" spans="1:13" s="20" customFormat="1" ht="24.75" customHeight="1">
      <c r="A771" s="41"/>
      <c r="B771" s="17"/>
      <c r="C771" s="51"/>
      <c r="D771" s="139"/>
      <c r="E771" s="18"/>
      <c r="F771" s="28"/>
      <c r="G771" s="118"/>
      <c r="H771" s="35"/>
      <c r="I771" s="127"/>
      <c r="J771" s="122"/>
      <c r="K771" s="19"/>
      <c r="L771" s="19"/>
      <c r="M771" s="16"/>
    </row>
    <row r="772" spans="1:13" s="20" customFormat="1" ht="24.75" customHeight="1">
      <c r="A772" s="41"/>
      <c r="B772" s="17"/>
      <c r="C772" s="51"/>
      <c r="D772" s="139"/>
      <c r="E772" s="18"/>
      <c r="F772" s="28"/>
      <c r="G772" s="118"/>
      <c r="H772" s="35"/>
      <c r="I772" s="127"/>
      <c r="J772" s="122"/>
      <c r="K772" s="19"/>
      <c r="L772" s="19"/>
      <c r="M772" s="16"/>
    </row>
    <row r="773" spans="1:13" s="20" customFormat="1" ht="24.75" customHeight="1">
      <c r="A773" s="41"/>
      <c r="B773" s="17"/>
      <c r="C773" s="51"/>
      <c r="D773" s="139"/>
      <c r="E773" s="18"/>
      <c r="F773" s="28"/>
      <c r="G773" s="118"/>
      <c r="H773" s="35"/>
      <c r="I773" s="127"/>
      <c r="J773" s="122"/>
      <c r="K773" s="19"/>
      <c r="L773" s="19"/>
      <c r="M773" s="16"/>
    </row>
    <row r="774" spans="1:13" s="20" customFormat="1" ht="24.75" customHeight="1">
      <c r="A774" s="41"/>
      <c r="B774" s="17"/>
      <c r="C774" s="51"/>
      <c r="D774" s="139"/>
      <c r="E774" s="18"/>
      <c r="F774" s="28"/>
      <c r="G774" s="118"/>
      <c r="H774" s="35"/>
      <c r="I774" s="127"/>
      <c r="J774" s="122"/>
      <c r="K774" s="19"/>
      <c r="L774" s="19"/>
      <c r="M774" s="16"/>
    </row>
    <row r="775" spans="1:13" s="20" customFormat="1" ht="24.75" customHeight="1">
      <c r="A775" s="41"/>
      <c r="B775" s="17"/>
      <c r="C775" s="51"/>
      <c r="D775" s="139"/>
      <c r="E775" s="18"/>
      <c r="F775" s="28"/>
      <c r="G775" s="118"/>
      <c r="H775" s="35"/>
      <c r="I775" s="127"/>
      <c r="J775" s="122"/>
      <c r="K775" s="19"/>
      <c r="L775" s="19"/>
      <c r="M775" s="16"/>
    </row>
    <row r="776" spans="1:13" s="20" customFormat="1" ht="24.75" customHeight="1">
      <c r="A776" s="41"/>
      <c r="B776" s="17"/>
      <c r="C776" s="51"/>
      <c r="D776" s="139"/>
      <c r="E776" s="18"/>
      <c r="F776" s="28"/>
      <c r="G776" s="118"/>
      <c r="H776" s="35"/>
      <c r="I776" s="127"/>
      <c r="J776" s="122"/>
      <c r="K776" s="19"/>
      <c r="L776" s="19"/>
      <c r="M776" s="16"/>
    </row>
    <row r="777" spans="1:13" s="20" customFormat="1" ht="24.75" customHeight="1">
      <c r="A777" s="41"/>
      <c r="B777" s="17"/>
      <c r="C777" s="51"/>
      <c r="D777" s="139"/>
      <c r="E777" s="18"/>
      <c r="F777" s="28"/>
      <c r="G777" s="118"/>
      <c r="H777" s="35"/>
      <c r="I777" s="127"/>
      <c r="J777" s="122"/>
      <c r="K777" s="19"/>
      <c r="L777" s="19"/>
      <c r="M777" s="16"/>
    </row>
    <row r="778" spans="1:13" s="20" customFormat="1" ht="24.75" customHeight="1">
      <c r="A778" s="41"/>
      <c r="B778" s="17"/>
      <c r="C778" s="51"/>
      <c r="D778" s="139"/>
      <c r="E778" s="18"/>
      <c r="F778" s="28"/>
      <c r="G778" s="118"/>
      <c r="H778" s="35"/>
      <c r="I778" s="127"/>
      <c r="J778" s="122"/>
      <c r="K778" s="19"/>
      <c r="L778" s="19"/>
      <c r="M778" s="16"/>
    </row>
    <row r="779" spans="1:13" s="20" customFormat="1" ht="24.75" customHeight="1">
      <c r="A779" s="41"/>
      <c r="B779" s="17"/>
      <c r="C779" s="51"/>
      <c r="D779" s="139"/>
      <c r="E779" s="18"/>
      <c r="F779" s="28"/>
      <c r="G779" s="118"/>
      <c r="H779" s="35"/>
      <c r="I779" s="127"/>
      <c r="J779" s="122"/>
      <c r="K779" s="19"/>
      <c r="L779" s="19"/>
      <c r="M779" s="16"/>
    </row>
    <row r="780" spans="1:13" s="20" customFormat="1" ht="24.75" customHeight="1">
      <c r="A780" s="41"/>
      <c r="B780" s="17"/>
      <c r="C780" s="51"/>
      <c r="D780" s="139"/>
      <c r="E780" s="18"/>
      <c r="F780" s="28"/>
      <c r="G780" s="118"/>
      <c r="H780" s="35"/>
      <c r="I780" s="127"/>
      <c r="J780" s="122"/>
      <c r="K780" s="19"/>
      <c r="L780" s="19"/>
      <c r="M780" s="16"/>
    </row>
    <row r="781" spans="1:13" s="20" customFormat="1" ht="24.75" customHeight="1">
      <c r="A781" s="41"/>
      <c r="B781" s="17"/>
      <c r="C781" s="51"/>
      <c r="D781" s="139"/>
      <c r="E781" s="18"/>
      <c r="F781" s="28"/>
      <c r="G781" s="118"/>
      <c r="H781" s="35"/>
      <c r="I781" s="127"/>
      <c r="J781" s="122"/>
      <c r="K781" s="19"/>
      <c r="L781" s="19"/>
      <c r="M781" s="16"/>
    </row>
    <row r="782" spans="1:13" s="20" customFormat="1" ht="24.75" customHeight="1">
      <c r="A782" s="41"/>
      <c r="B782" s="17"/>
      <c r="C782" s="51"/>
      <c r="D782" s="139"/>
      <c r="E782" s="18"/>
      <c r="F782" s="28"/>
      <c r="G782" s="118"/>
      <c r="H782" s="35"/>
      <c r="I782" s="127"/>
      <c r="J782" s="122"/>
      <c r="K782" s="19"/>
      <c r="L782" s="19"/>
      <c r="M782" s="16"/>
    </row>
    <row r="783" spans="1:13" s="20" customFormat="1" ht="24.75" customHeight="1">
      <c r="A783" s="41"/>
      <c r="B783" s="17"/>
      <c r="C783" s="51"/>
      <c r="D783" s="139"/>
      <c r="E783" s="18"/>
      <c r="F783" s="28"/>
      <c r="G783" s="118"/>
      <c r="H783" s="35"/>
      <c r="I783" s="127"/>
      <c r="J783" s="122"/>
      <c r="K783" s="19"/>
      <c r="L783" s="19"/>
      <c r="M783" s="16"/>
    </row>
    <row r="784" spans="1:13" s="20" customFormat="1" ht="24.75" customHeight="1">
      <c r="A784" s="41"/>
      <c r="B784" s="17"/>
      <c r="C784" s="51"/>
      <c r="D784" s="139"/>
      <c r="E784" s="18"/>
      <c r="F784" s="28"/>
      <c r="G784" s="118"/>
      <c r="H784" s="35"/>
      <c r="I784" s="127"/>
      <c r="J784" s="122"/>
      <c r="K784" s="19"/>
      <c r="L784" s="19"/>
      <c r="M784" s="16"/>
    </row>
    <row r="785" spans="1:13" s="20" customFormat="1" ht="24.75" customHeight="1">
      <c r="A785" s="41"/>
      <c r="B785" s="17"/>
      <c r="C785" s="51"/>
      <c r="D785" s="139"/>
      <c r="E785" s="18"/>
      <c r="F785" s="28"/>
      <c r="G785" s="118"/>
      <c r="H785" s="35"/>
      <c r="I785" s="127"/>
      <c r="J785" s="122"/>
      <c r="K785" s="19"/>
      <c r="L785" s="19"/>
      <c r="M785" s="16"/>
    </row>
    <row r="786" spans="1:13" s="20" customFormat="1" ht="24.75" customHeight="1">
      <c r="A786" s="41"/>
      <c r="B786" s="17"/>
      <c r="C786" s="51"/>
      <c r="D786" s="139"/>
      <c r="E786" s="18"/>
      <c r="F786" s="28"/>
      <c r="G786" s="118"/>
      <c r="H786" s="35"/>
      <c r="I786" s="127"/>
      <c r="J786" s="122"/>
      <c r="K786" s="19"/>
      <c r="L786" s="19"/>
      <c r="M786" s="16"/>
    </row>
    <row r="787" spans="1:13" s="20" customFormat="1" ht="24.75" customHeight="1">
      <c r="A787" s="41"/>
      <c r="B787" s="17"/>
      <c r="C787" s="51"/>
      <c r="D787" s="139"/>
      <c r="E787" s="18"/>
      <c r="F787" s="28"/>
      <c r="G787" s="118"/>
      <c r="H787" s="35"/>
      <c r="I787" s="127"/>
      <c r="J787" s="122"/>
      <c r="K787" s="19"/>
      <c r="L787" s="19"/>
      <c r="M787" s="16"/>
    </row>
    <row r="788" spans="1:13" s="20" customFormat="1" ht="24.75" customHeight="1">
      <c r="A788" s="41"/>
      <c r="B788" s="17"/>
      <c r="C788" s="51"/>
      <c r="D788" s="139"/>
      <c r="E788" s="18"/>
      <c r="F788" s="28"/>
      <c r="G788" s="118"/>
      <c r="H788" s="35"/>
      <c r="I788" s="127"/>
      <c r="J788" s="122"/>
      <c r="K788" s="19"/>
      <c r="L788" s="19"/>
      <c r="M788" s="16"/>
    </row>
    <row r="789" spans="1:13" s="20" customFormat="1" ht="24.75" customHeight="1">
      <c r="A789" s="41"/>
      <c r="B789" s="17"/>
      <c r="C789" s="51"/>
      <c r="D789" s="139"/>
      <c r="E789" s="18"/>
      <c r="F789" s="28"/>
      <c r="G789" s="118"/>
      <c r="H789" s="35"/>
      <c r="I789" s="127"/>
      <c r="J789" s="122"/>
      <c r="K789" s="19"/>
      <c r="L789" s="19"/>
      <c r="M789" s="16"/>
    </row>
    <row r="790" spans="1:13" s="20" customFormat="1" ht="24.75" customHeight="1">
      <c r="A790" s="41"/>
      <c r="B790" s="17"/>
      <c r="C790" s="51"/>
      <c r="D790" s="139"/>
      <c r="E790" s="18"/>
      <c r="F790" s="28"/>
      <c r="G790" s="118"/>
      <c r="H790" s="35"/>
      <c r="I790" s="127"/>
      <c r="J790" s="122"/>
      <c r="K790" s="19"/>
      <c r="L790" s="19"/>
      <c r="M790" s="16"/>
    </row>
    <row r="791" spans="1:13" s="20" customFormat="1" ht="24.75" customHeight="1">
      <c r="A791" s="41"/>
      <c r="B791" s="17"/>
      <c r="C791" s="51"/>
      <c r="D791" s="139"/>
      <c r="E791" s="18"/>
      <c r="F791" s="28"/>
      <c r="G791" s="118"/>
      <c r="H791" s="35"/>
      <c r="I791" s="127"/>
      <c r="J791" s="122"/>
      <c r="K791" s="19"/>
      <c r="L791" s="19"/>
      <c r="M791" s="16"/>
    </row>
    <row r="792" spans="1:13" s="20" customFormat="1" ht="24.75" customHeight="1">
      <c r="A792" s="41"/>
      <c r="B792" s="17"/>
      <c r="C792" s="51"/>
      <c r="D792" s="139"/>
      <c r="E792" s="18"/>
      <c r="F792" s="28"/>
      <c r="G792" s="118"/>
      <c r="H792" s="35"/>
      <c r="I792" s="127"/>
      <c r="J792" s="122"/>
      <c r="K792" s="19"/>
      <c r="L792" s="19"/>
      <c r="M792" s="16"/>
    </row>
    <row r="793" spans="1:13" s="20" customFormat="1" ht="24.75" customHeight="1">
      <c r="A793" s="41"/>
      <c r="B793" s="17"/>
      <c r="C793" s="51"/>
      <c r="D793" s="139"/>
      <c r="E793" s="18"/>
      <c r="F793" s="28"/>
      <c r="G793" s="118"/>
      <c r="H793" s="35"/>
      <c r="I793" s="127"/>
      <c r="J793" s="122"/>
      <c r="K793" s="19"/>
      <c r="L793" s="19"/>
      <c r="M793" s="16"/>
    </row>
    <row r="794" spans="1:13" s="20" customFormat="1" ht="24.75" customHeight="1">
      <c r="A794" s="41"/>
      <c r="B794" s="17"/>
      <c r="C794" s="51"/>
      <c r="D794" s="139"/>
      <c r="E794" s="18"/>
      <c r="F794" s="28"/>
      <c r="G794" s="118"/>
      <c r="H794" s="35"/>
      <c r="I794" s="127"/>
      <c r="J794" s="122"/>
      <c r="K794" s="19"/>
      <c r="L794" s="19"/>
      <c r="M794" s="16"/>
    </row>
    <row r="795" spans="1:13" s="20" customFormat="1" ht="24.75" customHeight="1">
      <c r="A795" s="41"/>
      <c r="B795" s="17"/>
      <c r="C795" s="51"/>
      <c r="D795" s="139"/>
      <c r="E795" s="18"/>
      <c r="F795" s="28"/>
      <c r="G795" s="118"/>
      <c r="H795" s="35"/>
      <c r="I795" s="127"/>
      <c r="J795" s="122"/>
      <c r="K795" s="19"/>
      <c r="L795" s="19"/>
      <c r="M795" s="16"/>
    </row>
    <row r="796" spans="1:13" s="20" customFormat="1" ht="24.75" customHeight="1">
      <c r="A796" s="41"/>
      <c r="B796" s="17"/>
      <c r="C796" s="51"/>
      <c r="D796" s="139"/>
      <c r="E796" s="18"/>
      <c r="F796" s="28"/>
      <c r="G796" s="118"/>
      <c r="H796" s="35"/>
      <c r="I796" s="127"/>
      <c r="J796" s="122"/>
      <c r="K796" s="19"/>
      <c r="L796" s="19"/>
      <c r="M796" s="16"/>
    </row>
    <row r="797" spans="1:13" s="20" customFormat="1" ht="24.75" customHeight="1">
      <c r="A797" s="41"/>
      <c r="B797" s="17"/>
      <c r="C797" s="51"/>
      <c r="D797" s="139"/>
      <c r="E797" s="18"/>
      <c r="F797" s="28"/>
      <c r="G797" s="118"/>
      <c r="H797" s="35"/>
      <c r="I797" s="127"/>
      <c r="J797" s="122"/>
      <c r="K797" s="19"/>
      <c r="L797" s="19"/>
      <c r="M797" s="16"/>
    </row>
    <row r="798" spans="1:13" s="20" customFormat="1" ht="24.75" customHeight="1">
      <c r="A798" s="41"/>
      <c r="B798" s="17"/>
      <c r="C798" s="51"/>
      <c r="D798" s="139"/>
      <c r="E798" s="18"/>
      <c r="F798" s="28"/>
      <c r="G798" s="118"/>
      <c r="H798" s="35"/>
      <c r="I798" s="127"/>
      <c r="J798" s="122"/>
      <c r="K798" s="19"/>
      <c r="L798" s="19"/>
      <c r="M798" s="16"/>
    </row>
    <row r="799" spans="1:13" s="20" customFormat="1" ht="24.75" customHeight="1">
      <c r="A799" s="41"/>
      <c r="B799" s="17"/>
      <c r="C799" s="51"/>
      <c r="D799" s="139"/>
      <c r="E799" s="18"/>
      <c r="F799" s="28"/>
      <c r="G799" s="118"/>
      <c r="H799" s="35"/>
      <c r="I799" s="127"/>
      <c r="J799" s="122"/>
      <c r="K799" s="19"/>
      <c r="L799" s="19"/>
      <c r="M799" s="16"/>
    </row>
    <row r="800" spans="1:13" s="20" customFormat="1" ht="24.75" customHeight="1">
      <c r="A800" s="41"/>
      <c r="B800" s="17"/>
      <c r="C800" s="51"/>
      <c r="D800" s="139"/>
      <c r="E800" s="18"/>
      <c r="F800" s="28"/>
      <c r="G800" s="118"/>
      <c r="H800" s="35"/>
      <c r="I800" s="127"/>
      <c r="J800" s="122"/>
      <c r="K800" s="19"/>
      <c r="L800" s="19"/>
      <c r="M800" s="16"/>
    </row>
    <row r="801" spans="1:13" s="20" customFormat="1" ht="24.75" customHeight="1">
      <c r="A801" s="41"/>
      <c r="B801" s="17"/>
      <c r="C801" s="51"/>
      <c r="D801" s="139"/>
      <c r="E801" s="18"/>
      <c r="F801" s="28"/>
      <c r="G801" s="118"/>
      <c r="H801" s="35"/>
      <c r="I801" s="127"/>
      <c r="J801" s="122"/>
      <c r="K801" s="19"/>
      <c r="L801" s="19"/>
      <c r="M801" s="16"/>
    </row>
    <row r="802" spans="1:13" s="20" customFormat="1" ht="24.75" customHeight="1">
      <c r="A802" s="41"/>
      <c r="B802" s="17"/>
      <c r="C802" s="51"/>
      <c r="D802" s="139"/>
      <c r="E802" s="18"/>
      <c r="F802" s="28"/>
      <c r="G802" s="118"/>
      <c r="H802" s="35"/>
      <c r="I802" s="127"/>
      <c r="J802" s="122"/>
      <c r="K802" s="19"/>
      <c r="L802" s="19"/>
      <c r="M802" s="16"/>
    </row>
    <row r="803" spans="1:13" s="20" customFormat="1" ht="24.75" customHeight="1">
      <c r="A803" s="41"/>
      <c r="B803" s="17"/>
      <c r="C803" s="51"/>
      <c r="D803" s="139"/>
      <c r="E803" s="18"/>
      <c r="F803" s="28"/>
      <c r="G803" s="118"/>
      <c r="H803" s="35"/>
      <c r="I803" s="127"/>
      <c r="J803" s="122"/>
      <c r="K803" s="19"/>
      <c r="L803" s="19"/>
      <c r="M803" s="16"/>
    </row>
    <row r="804" spans="1:13" s="20" customFormat="1" ht="24.75" customHeight="1">
      <c r="A804" s="41"/>
      <c r="B804" s="17"/>
      <c r="C804" s="51"/>
      <c r="D804" s="139"/>
      <c r="E804" s="18"/>
      <c r="F804" s="28"/>
      <c r="G804" s="118"/>
      <c r="H804" s="35"/>
      <c r="I804" s="127"/>
      <c r="J804" s="122"/>
      <c r="K804" s="19"/>
      <c r="L804" s="19"/>
      <c r="M804" s="16"/>
    </row>
    <row r="805" spans="1:13" s="20" customFormat="1" ht="24.75" customHeight="1">
      <c r="A805" s="41"/>
      <c r="B805" s="17"/>
      <c r="C805" s="51"/>
      <c r="D805" s="139"/>
      <c r="E805" s="18"/>
      <c r="F805" s="28"/>
      <c r="G805" s="118"/>
      <c r="H805" s="35"/>
      <c r="I805" s="127"/>
      <c r="J805" s="122"/>
      <c r="K805" s="19"/>
      <c r="L805" s="19"/>
      <c r="M805" s="16"/>
    </row>
    <row r="806" spans="1:13" s="20" customFormat="1" ht="24.75" customHeight="1">
      <c r="A806" s="41"/>
      <c r="B806" s="17"/>
      <c r="C806" s="51"/>
      <c r="D806" s="139"/>
      <c r="E806" s="18"/>
      <c r="F806" s="28"/>
      <c r="G806" s="118"/>
      <c r="H806" s="35"/>
      <c r="I806" s="127"/>
      <c r="J806" s="122"/>
      <c r="K806" s="19"/>
      <c r="L806" s="19"/>
      <c r="M806" s="16"/>
    </row>
    <row r="807" spans="1:13" s="20" customFormat="1" ht="24.75" customHeight="1">
      <c r="A807" s="41"/>
      <c r="B807" s="17"/>
      <c r="C807" s="51"/>
      <c r="D807" s="139"/>
      <c r="E807" s="18"/>
      <c r="F807" s="28"/>
      <c r="G807" s="118"/>
      <c r="H807" s="35"/>
      <c r="I807" s="127"/>
      <c r="J807" s="122"/>
      <c r="K807" s="19"/>
      <c r="L807" s="19"/>
      <c r="M807" s="16"/>
    </row>
    <row r="808" spans="1:13" s="20" customFormat="1" ht="24.75" customHeight="1">
      <c r="A808" s="41"/>
      <c r="B808" s="17"/>
      <c r="C808" s="51"/>
      <c r="D808" s="139"/>
      <c r="E808" s="18"/>
      <c r="F808" s="28"/>
      <c r="G808" s="118"/>
      <c r="H808" s="35"/>
      <c r="I808" s="127"/>
      <c r="J808" s="122"/>
      <c r="K808" s="19"/>
      <c r="L808" s="19"/>
      <c r="M808" s="16"/>
    </row>
    <row r="809" spans="1:13" s="20" customFormat="1" ht="24.75" customHeight="1">
      <c r="A809" s="41"/>
      <c r="B809" s="17"/>
      <c r="C809" s="51"/>
      <c r="D809" s="139"/>
      <c r="E809" s="18"/>
      <c r="F809" s="28"/>
      <c r="G809" s="118"/>
      <c r="H809" s="35"/>
      <c r="I809" s="127"/>
      <c r="J809" s="122"/>
      <c r="K809" s="19"/>
      <c r="L809" s="19"/>
      <c r="M809" s="16"/>
    </row>
    <row r="810" spans="1:13" s="20" customFormat="1" ht="24.75" customHeight="1">
      <c r="A810" s="41"/>
      <c r="B810" s="17"/>
      <c r="C810" s="51"/>
      <c r="D810" s="139"/>
      <c r="E810" s="18"/>
      <c r="F810" s="28"/>
      <c r="G810" s="118"/>
      <c r="H810" s="35"/>
      <c r="I810" s="127"/>
      <c r="J810" s="122"/>
      <c r="K810" s="19"/>
      <c r="L810" s="19"/>
      <c r="M810" s="16"/>
    </row>
    <row r="811" spans="1:13" s="20" customFormat="1" ht="24.75" customHeight="1">
      <c r="A811" s="41"/>
      <c r="B811" s="17"/>
      <c r="C811" s="51"/>
      <c r="D811" s="139"/>
      <c r="E811" s="18"/>
      <c r="F811" s="28"/>
      <c r="G811" s="118"/>
      <c r="H811" s="35"/>
      <c r="I811" s="127"/>
      <c r="J811" s="122"/>
      <c r="K811" s="19"/>
      <c r="L811" s="19"/>
      <c r="M811" s="16"/>
    </row>
    <row r="812" spans="1:13" s="20" customFormat="1" ht="24.75" customHeight="1">
      <c r="A812" s="41"/>
      <c r="B812" s="17"/>
      <c r="C812" s="51"/>
      <c r="D812" s="139"/>
      <c r="E812" s="18"/>
      <c r="F812" s="28"/>
      <c r="G812" s="118"/>
      <c r="H812" s="35"/>
      <c r="I812" s="127"/>
      <c r="J812" s="122"/>
      <c r="K812" s="19"/>
      <c r="L812" s="19"/>
      <c r="M812" s="16"/>
    </row>
    <row r="813" spans="1:13" s="20" customFormat="1" ht="24.75" customHeight="1">
      <c r="A813" s="41"/>
      <c r="B813" s="17"/>
      <c r="C813" s="51"/>
      <c r="D813" s="139"/>
      <c r="E813" s="18"/>
      <c r="F813" s="28"/>
      <c r="G813" s="118"/>
      <c r="H813" s="35"/>
      <c r="I813" s="127"/>
      <c r="J813" s="122"/>
      <c r="K813" s="19"/>
      <c r="L813" s="19"/>
      <c r="M813" s="16"/>
    </row>
    <row r="814" spans="1:13" s="20" customFormat="1" ht="24.75" customHeight="1">
      <c r="A814" s="41"/>
      <c r="B814" s="17"/>
      <c r="C814" s="51"/>
      <c r="D814" s="139"/>
      <c r="E814" s="18"/>
      <c r="F814" s="28"/>
      <c r="G814" s="118"/>
      <c r="H814" s="35"/>
      <c r="I814" s="127"/>
      <c r="J814" s="122"/>
      <c r="K814" s="19"/>
      <c r="L814" s="19"/>
      <c r="M814" s="16"/>
    </row>
    <row r="815" spans="1:13" s="20" customFormat="1" ht="24.75" customHeight="1">
      <c r="A815" s="41"/>
      <c r="B815" s="17"/>
      <c r="C815" s="51"/>
      <c r="D815" s="139"/>
      <c r="E815" s="18"/>
      <c r="F815" s="28"/>
      <c r="G815" s="118"/>
      <c r="H815" s="35"/>
      <c r="I815" s="127"/>
      <c r="J815" s="122"/>
      <c r="K815" s="19"/>
      <c r="L815" s="19"/>
      <c r="M815" s="16"/>
    </row>
    <row r="816" spans="1:13" s="20" customFormat="1" ht="24.75" customHeight="1">
      <c r="A816" s="41"/>
      <c r="B816" s="17"/>
      <c r="C816" s="51"/>
      <c r="D816" s="139"/>
      <c r="E816" s="18"/>
      <c r="F816" s="28"/>
      <c r="G816" s="118"/>
      <c r="H816" s="35"/>
      <c r="I816" s="127"/>
      <c r="J816" s="122"/>
      <c r="K816" s="19"/>
      <c r="L816" s="19"/>
      <c r="M816" s="16"/>
    </row>
    <row r="817" spans="1:13" s="20" customFormat="1" ht="24.75" customHeight="1">
      <c r="A817" s="41"/>
      <c r="B817" s="17"/>
      <c r="C817" s="51"/>
      <c r="D817" s="139"/>
      <c r="E817" s="18"/>
      <c r="F817" s="28"/>
      <c r="G817" s="118"/>
      <c r="H817" s="35"/>
      <c r="I817" s="127"/>
      <c r="J817" s="122"/>
      <c r="K817" s="19"/>
      <c r="L817" s="19"/>
      <c r="M817" s="16"/>
    </row>
    <row r="818" spans="1:13" s="20" customFormat="1" ht="24.75" customHeight="1">
      <c r="A818" s="41"/>
      <c r="B818" s="17"/>
      <c r="C818" s="51"/>
      <c r="D818" s="139"/>
      <c r="E818" s="18"/>
      <c r="F818" s="28"/>
      <c r="G818" s="118"/>
      <c r="H818" s="35"/>
      <c r="I818" s="127"/>
      <c r="J818" s="122"/>
      <c r="K818" s="19"/>
      <c r="L818" s="19"/>
      <c r="M818" s="16"/>
    </row>
    <row r="819" spans="1:13" s="20" customFormat="1" ht="24.75" customHeight="1">
      <c r="A819" s="41"/>
      <c r="B819" s="17"/>
      <c r="C819" s="51"/>
      <c r="D819" s="139"/>
      <c r="E819" s="18"/>
      <c r="F819" s="28"/>
      <c r="G819" s="118"/>
      <c r="H819" s="35"/>
      <c r="I819" s="127"/>
      <c r="J819" s="122"/>
      <c r="K819" s="19"/>
      <c r="L819" s="19"/>
      <c r="M819" s="16"/>
    </row>
    <row r="820" spans="1:13" s="20" customFormat="1" ht="24.75" customHeight="1">
      <c r="A820" s="41"/>
      <c r="B820" s="17"/>
      <c r="C820" s="51"/>
      <c r="D820" s="139"/>
      <c r="E820" s="18"/>
      <c r="F820" s="28"/>
      <c r="G820" s="118"/>
      <c r="H820" s="35"/>
      <c r="I820" s="127"/>
      <c r="J820" s="122"/>
      <c r="K820" s="19"/>
      <c r="L820" s="19"/>
      <c r="M820" s="16"/>
    </row>
    <row r="821" spans="1:13" s="20" customFormat="1" ht="24.75" customHeight="1">
      <c r="A821" s="41"/>
      <c r="B821" s="17"/>
      <c r="C821" s="51"/>
      <c r="D821" s="139"/>
      <c r="E821" s="18"/>
      <c r="F821" s="28"/>
      <c r="G821" s="118"/>
      <c r="H821" s="35"/>
      <c r="I821" s="127"/>
      <c r="J821" s="122"/>
      <c r="K821" s="19"/>
      <c r="L821" s="19"/>
      <c r="M821" s="16"/>
    </row>
    <row r="822" spans="1:13" s="20" customFormat="1" ht="24.75" customHeight="1">
      <c r="A822" s="41"/>
      <c r="B822" s="17"/>
      <c r="C822" s="51"/>
      <c r="D822" s="139"/>
      <c r="E822" s="18"/>
      <c r="F822" s="28"/>
      <c r="G822" s="118"/>
      <c r="H822" s="35"/>
      <c r="I822" s="127"/>
      <c r="J822" s="122"/>
      <c r="K822" s="19"/>
      <c r="L822" s="19"/>
      <c r="M822" s="16"/>
    </row>
    <row r="823" spans="1:13" s="20" customFormat="1" ht="24.75" customHeight="1">
      <c r="A823" s="41"/>
      <c r="B823" s="17"/>
      <c r="C823" s="51"/>
      <c r="D823" s="139"/>
      <c r="E823" s="18"/>
      <c r="F823" s="28"/>
      <c r="G823" s="118"/>
      <c r="H823" s="35"/>
      <c r="I823" s="127"/>
      <c r="J823" s="122"/>
      <c r="K823" s="19"/>
      <c r="L823" s="19"/>
      <c r="M823" s="16"/>
    </row>
    <row r="824" spans="1:13" s="20" customFormat="1" ht="24.75" customHeight="1">
      <c r="A824" s="41"/>
      <c r="B824" s="17"/>
      <c r="C824" s="51"/>
      <c r="D824" s="139"/>
      <c r="E824" s="18"/>
      <c r="F824" s="28"/>
      <c r="G824" s="118"/>
      <c r="H824" s="35"/>
      <c r="I824" s="127"/>
      <c r="J824" s="122"/>
      <c r="K824" s="19"/>
      <c r="L824" s="19"/>
      <c r="M824" s="16"/>
    </row>
    <row r="825" spans="1:13" s="20" customFormat="1" ht="24.75" customHeight="1">
      <c r="A825" s="41"/>
      <c r="B825" s="17"/>
      <c r="C825" s="51"/>
      <c r="D825" s="139"/>
      <c r="E825" s="18"/>
      <c r="F825" s="28"/>
      <c r="G825" s="118"/>
      <c r="H825" s="35"/>
      <c r="I825" s="127"/>
      <c r="J825" s="122"/>
      <c r="K825" s="19"/>
      <c r="L825" s="19"/>
      <c r="M825" s="16"/>
    </row>
    <row r="826" spans="1:13" s="20" customFormat="1" ht="24.75" customHeight="1">
      <c r="A826" s="41"/>
      <c r="B826" s="17"/>
      <c r="C826" s="51"/>
      <c r="D826" s="139"/>
      <c r="E826" s="18"/>
      <c r="F826" s="28"/>
      <c r="G826" s="118"/>
      <c r="H826" s="35"/>
      <c r="I826" s="127"/>
      <c r="J826" s="122"/>
      <c r="K826" s="19"/>
      <c r="L826" s="19"/>
      <c r="M826" s="16"/>
    </row>
    <row r="827" spans="1:13" s="20" customFormat="1" ht="24.75" customHeight="1">
      <c r="A827" s="41"/>
      <c r="B827" s="17"/>
      <c r="C827" s="51"/>
      <c r="D827" s="139"/>
      <c r="E827" s="18"/>
      <c r="F827" s="28"/>
      <c r="G827" s="118"/>
      <c r="H827" s="35"/>
      <c r="I827" s="127"/>
      <c r="J827" s="122"/>
      <c r="K827" s="19"/>
      <c r="L827" s="19"/>
      <c r="M827" s="16"/>
    </row>
    <row r="828" spans="1:13" s="20" customFormat="1" ht="24.75" customHeight="1">
      <c r="A828" s="41"/>
      <c r="B828" s="17"/>
      <c r="C828" s="51"/>
      <c r="D828" s="139"/>
      <c r="E828" s="18"/>
      <c r="F828" s="28"/>
      <c r="G828" s="118"/>
      <c r="H828" s="35"/>
      <c r="I828" s="127"/>
      <c r="J828" s="122"/>
      <c r="K828" s="19"/>
      <c r="L828" s="19"/>
      <c r="M828" s="16"/>
    </row>
    <row r="829" spans="1:13" s="20" customFormat="1" ht="24.75" customHeight="1">
      <c r="A829" s="41"/>
      <c r="B829" s="17"/>
      <c r="C829" s="51"/>
      <c r="D829" s="139"/>
      <c r="E829" s="18"/>
      <c r="F829" s="28"/>
      <c r="G829" s="118"/>
      <c r="H829" s="35"/>
      <c r="I829" s="127"/>
      <c r="J829" s="122"/>
      <c r="K829" s="19"/>
      <c r="L829" s="19"/>
      <c r="M829" s="16"/>
    </row>
    <row r="830" spans="1:13" s="20" customFormat="1" ht="24.75" customHeight="1">
      <c r="A830" s="41"/>
      <c r="B830" s="17"/>
      <c r="C830" s="51"/>
      <c r="D830" s="139"/>
      <c r="E830" s="18"/>
      <c r="F830" s="28"/>
      <c r="G830" s="118"/>
      <c r="H830" s="35"/>
      <c r="I830" s="127"/>
      <c r="J830" s="122"/>
      <c r="K830" s="19"/>
      <c r="L830" s="19"/>
      <c r="M830" s="16"/>
    </row>
    <row r="831" spans="1:13" s="20" customFormat="1" ht="24.75" customHeight="1">
      <c r="A831" s="41"/>
      <c r="B831" s="17"/>
      <c r="C831" s="51"/>
      <c r="D831" s="139"/>
      <c r="E831" s="18"/>
      <c r="F831" s="28"/>
      <c r="G831" s="118"/>
      <c r="H831" s="35"/>
      <c r="I831" s="127"/>
      <c r="J831" s="122"/>
      <c r="K831" s="19"/>
      <c r="L831" s="19"/>
      <c r="M831" s="16"/>
    </row>
    <row r="832" spans="1:13" s="20" customFormat="1" ht="24.75" customHeight="1">
      <c r="A832" s="41"/>
      <c r="B832" s="17"/>
      <c r="C832" s="51"/>
      <c r="D832" s="139"/>
      <c r="E832" s="18"/>
      <c r="F832" s="28"/>
      <c r="G832" s="118"/>
      <c r="H832" s="35"/>
      <c r="I832" s="127"/>
      <c r="J832" s="122"/>
      <c r="K832" s="19"/>
      <c r="L832" s="19"/>
      <c r="M832" s="16"/>
    </row>
    <row r="833" spans="1:13" s="20" customFormat="1" ht="24.75" customHeight="1">
      <c r="A833" s="41"/>
      <c r="B833" s="17"/>
      <c r="C833" s="51"/>
      <c r="D833" s="139"/>
      <c r="E833" s="18"/>
      <c r="F833" s="28"/>
      <c r="G833" s="118"/>
      <c r="H833" s="35"/>
      <c r="I833" s="127"/>
      <c r="J833" s="122"/>
      <c r="K833" s="19"/>
      <c r="L833" s="19"/>
      <c r="M833" s="16"/>
    </row>
    <row r="834" spans="1:13" s="20" customFormat="1" ht="24.75" customHeight="1">
      <c r="A834" s="41"/>
      <c r="B834" s="17"/>
      <c r="C834" s="51"/>
      <c r="D834" s="139"/>
      <c r="E834" s="18"/>
      <c r="F834" s="28"/>
      <c r="G834" s="118"/>
      <c r="H834" s="35"/>
      <c r="I834" s="127"/>
      <c r="J834" s="122"/>
      <c r="K834" s="19"/>
      <c r="L834" s="19"/>
      <c r="M834" s="16"/>
    </row>
    <row r="835" spans="1:13" s="20" customFormat="1" ht="24.75" customHeight="1">
      <c r="A835" s="41"/>
      <c r="B835" s="17"/>
      <c r="C835" s="51"/>
      <c r="D835" s="139"/>
      <c r="E835" s="18"/>
      <c r="F835" s="28"/>
      <c r="G835" s="118"/>
      <c r="H835" s="35"/>
      <c r="I835" s="127"/>
      <c r="J835" s="122"/>
      <c r="K835" s="19"/>
      <c r="L835" s="19"/>
      <c r="M835" s="16"/>
    </row>
    <row r="836" spans="1:13" s="20" customFormat="1" ht="24.75" customHeight="1">
      <c r="A836" s="41"/>
      <c r="B836" s="17"/>
      <c r="C836" s="51"/>
      <c r="D836" s="139"/>
      <c r="E836" s="18"/>
      <c r="F836" s="28"/>
      <c r="G836" s="118"/>
      <c r="H836" s="35"/>
      <c r="I836" s="127"/>
      <c r="J836" s="122"/>
      <c r="K836" s="19"/>
      <c r="L836" s="19"/>
      <c r="M836" s="16"/>
    </row>
    <row r="837" spans="1:13" s="20" customFormat="1" ht="24.75" customHeight="1">
      <c r="A837" s="41"/>
      <c r="B837" s="17"/>
      <c r="C837" s="51"/>
      <c r="D837" s="139"/>
      <c r="E837" s="18"/>
      <c r="F837" s="28"/>
      <c r="G837" s="118"/>
      <c r="H837" s="35"/>
      <c r="I837" s="127"/>
      <c r="J837" s="122"/>
      <c r="K837" s="19"/>
      <c r="L837" s="19"/>
      <c r="M837" s="16"/>
    </row>
    <row r="838" spans="1:13" s="20" customFormat="1" ht="24.75" customHeight="1">
      <c r="A838" s="41"/>
      <c r="B838" s="17"/>
      <c r="C838" s="51"/>
      <c r="D838" s="139"/>
      <c r="E838" s="18"/>
      <c r="F838" s="28"/>
      <c r="G838" s="118"/>
      <c r="H838" s="35"/>
      <c r="I838" s="127"/>
      <c r="J838" s="122"/>
      <c r="K838" s="19"/>
      <c r="L838" s="19"/>
      <c r="M838" s="16"/>
    </row>
    <row r="839" spans="1:13" s="20" customFormat="1" ht="24.75" customHeight="1">
      <c r="A839" s="41"/>
      <c r="B839" s="17"/>
      <c r="C839" s="51"/>
      <c r="D839" s="139"/>
      <c r="E839" s="18"/>
      <c r="F839" s="28"/>
      <c r="G839" s="118"/>
      <c r="H839" s="35"/>
      <c r="I839" s="127"/>
      <c r="J839" s="122"/>
      <c r="K839" s="19"/>
      <c r="L839" s="19"/>
      <c r="M839" s="16"/>
    </row>
    <row r="840" spans="1:13" s="20" customFormat="1" ht="24.75" customHeight="1">
      <c r="A840" s="41"/>
      <c r="B840" s="17"/>
      <c r="C840" s="51"/>
      <c r="D840" s="139"/>
      <c r="E840" s="18"/>
      <c r="F840" s="28"/>
      <c r="G840" s="118"/>
      <c r="H840" s="35"/>
      <c r="I840" s="127"/>
      <c r="J840" s="122"/>
      <c r="K840" s="19"/>
      <c r="L840" s="19"/>
      <c r="M840" s="16"/>
    </row>
    <row r="841" spans="1:13" s="20" customFormat="1" ht="24.75" customHeight="1">
      <c r="A841" s="41"/>
      <c r="B841" s="17"/>
      <c r="C841" s="51"/>
      <c r="D841" s="139"/>
      <c r="E841" s="18"/>
      <c r="F841" s="28"/>
      <c r="G841" s="118"/>
      <c r="H841" s="35"/>
      <c r="I841" s="127"/>
      <c r="J841" s="122"/>
      <c r="K841" s="19"/>
      <c r="L841" s="19"/>
      <c r="M841" s="16"/>
    </row>
    <row r="842" spans="1:13" s="20" customFormat="1" ht="24.75" customHeight="1">
      <c r="A842" s="41"/>
      <c r="B842" s="17"/>
      <c r="C842" s="51"/>
      <c r="D842" s="139"/>
      <c r="E842" s="18"/>
      <c r="F842" s="28"/>
      <c r="G842" s="118"/>
      <c r="H842" s="35"/>
      <c r="I842" s="127"/>
      <c r="J842" s="122"/>
      <c r="K842" s="19"/>
      <c r="L842" s="19"/>
      <c r="M842" s="16"/>
    </row>
    <row r="843" spans="1:13" s="20" customFormat="1" ht="24.75" customHeight="1">
      <c r="A843" s="41"/>
      <c r="B843" s="17"/>
      <c r="C843" s="51"/>
      <c r="D843" s="139"/>
      <c r="E843" s="18"/>
      <c r="F843" s="28"/>
      <c r="G843" s="118"/>
      <c r="H843" s="35"/>
      <c r="I843" s="127"/>
      <c r="J843" s="122"/>
      <c r="K843" s="19"/>
      <c r="L843" s="19"/>
      <c r="M843" s="16"/>
    </row>
    <row r="844" spans="1:13" s="20" customFormat="1" ht="24.75" customHeight="1">
      <c r="A844" s="41"/>
      <c r="B844" s="17"/>
      <c r="C844" s="51"/>
      <c r="D844" s="139"/>
      <c r="E844" s="18"/>
      <c r="F844" s="28"/>
      <c r="G844" s="118"/>
      <c r="H844" s="35"/>
      <c r="I844" s="127"/>
      <c r="J844" s="122"/>
      <c r="K844" s="19"/>
      <c r="L844" s="19"/>
      <c r="M844" s="16"/>
    </row>
    <row r="845" spans="1:13" s="20" customFormat="1" ht="24.75" customHeight="1">
      <c r="A845" s="41"/>
      <c r="B845" s="17"/>
      <c r="C845" s="51"/>
      <c r="D845" s="139"/>
      <c r="E845" s="18"/>
      <c r="F845" s="28"/>
      <c r="G845" s="118"/>
      <c r="H845" s="35"/>
      <c r="I845" s="127"/>
      <c r="J845" s="122"/>
      <c r="K845" s="19"/>
      <c r="L845" s="19"/>
      <c r="M845" s="16"/>
    </row>
    <row r="846" spans="1:13" s="20" customFormat="1" ht="24.75" customHeight="1">
      <c r="A846" s="41"/>
      <c r="B846" s="17"/>
      <c r="C846" s="51"/>
      <c r="D846" s="139"/>
      <c r="E846" s="18"/>
      <c r="F846" s="28"/>
      <c r="G846" s="118"/>
      <c r="H846" s="35"/>
      <c r="I846" s="127"/>
      <c r="J846" s="122"/>
      <c r="K846" s="19"/>
      <c r="L846" s="19"/>
      <c r="M846" s="16"/>
    </row>
    <row r="847" spans="1:13" s="20" customFormat="1" ht="24.75" customHeight="1">
      <c r="A847" s="41"/>
      <c r="B847" s="17"/>
      <c r="C847" s="51"/>
      <c r="D847" s="139"/>
      <c r="E847" s="18"/>
      <c r="F847" s="28"/>
      <c r="G847" s="118"/>
      <c r="H847" s="35"/>
      <c r="I847" s="127"/>
      <c r="J847" s="122"/>
      <c r="K847" s="19"/>
      <c r="L847" s="19"/>
      <c r="M847" s="16"/>
    </row>
    <row r="848" spans="1:13" s="20" customFormat="1" ht="24.75" customHeight="1">
      <c r="A848" s="41"/>
      <c r="B848" s="17"/>
      <c r="C848" s="51"/>
      <c r="D848" s="139"/>
      <c r="E848" s="18"/>
      <c r="F848" s="28"/>
      <c r="G848" s="118"/>
      <c r="H848" s="35"/>
      <c r="I848" s="127"/>
      <c r="J848" s="122"/>
      <c r="K848" s="19"/>
      <c r="L848" s="19"/>
      <c r="M848" s="16"/>
    </row>
    <row r="849" spans="1:13" s="20" customFormat="1" ht="24.75" customHeight="1">
      <c r="A849" s="41"/>
      <c r="B849" s="17"/>
      <c r="C849" s="51"/>
      <c r="D849" s="139"/>
      <c r="E849" s="18"/>
      <c r="F849" s="28"/>
      <c r="G849" s="118"/>
      <c r="H849" s="35"/>
      <c r="I849" s="127"/>
      <c r="J849" s="122"/>
      <c r="K849" s="19"/>
      <c r="L849" s="19"/>
      <c r="M849" s="16"/>
    </row>
    <row r="850" spans="1:13" s="20" customFormat="1" ht="24.75" customHeight="1">
      <c r="A850" s="41"/>
      <c r="B850" s="17"/>
      <c r="C850" s="51"/>
      <c r="D850" s="139"/>
      <c r="E850" s="18"/>
      <c r="F850" s="28"/>
      <c r="G850" s="118"/>
      <c r="H850" s="35"/>
      <c r="I850" s="127"/>
      <c r="J850" s="122"/>
      <c r="K850" s="19"/>
      <c r="L850" s="19"/>
      <c r="M850" s="16"/>
    </row>
    <row r="851" spans="1:13" s="20" customFormat="1" ht="24.75" customHeight="1">
      <c r="A851" s="41"/>
      <c r="B851" s="17"/>
      <c r="C851" s="51"/>
      <c r="D851" s="139"/>
      <c r="E851" s="18"/>
      <c r="F851" s="28"/>
      <c r="G851" s="118"/>
      <c r="H851" s="35"/>
      <c r="I851" s="127"/>
      <c r="J851" s="122"/>
      <c r="K851" s="19"/>
      <c r="L851" s="19"/>
      <c r="M851" s="16"/>
    </row>
    <row r="852" spans="1:13" s="20" customFormat="1" ht="24.75" customHeight="1">
      <c r="A852" s="41"/>
      <c r="B852" s="17"/>
      <c r="C852" s="51"/>
      <c r="D852" s="139"/>
      <c r="E852" s="18"/>
      <c r="F852" s="28"/>
      <c r="G852" s="118"/>
      <c r="H852" s="35"/>
      <c r="I852" s="127"/>
      <c r="J852" s="122"/>
      <c r="K852" s="19"/>
      <c r="L852" s="19"/>
      <c r="M852" s="16"/>
    </row>
    <row r="853" spans="1:13" s="20" customFormat="1" ht="24.75" customHeight="1">
      <c r="A853" s="41"/>
      <c r="B853" s="17"/>
      <c r="C853" s="51"/>
      <c r="D853" s="139"/>
      <c r="E853" s="18"/>
      <c r="F853" s="28"/>
      <c r="G853" s="118"/>
      <c r="H853" s="35"/>
      <c r="I853" s="127"/>
      <c r="J853" s="122"/>
      <c r="K853" s="19"/>
      <c r="L853" s="19"/>
      <c r="M853" s="16"/>
    </row>
    <row r="854" spans="1:13" s="20" customFormat="1" ht="24.75" customHeight="1">
      <c r="A854" s="41"/>
      <c r="B854" s="17"/>
      <c r="C854" s="51"/>
      <c r="D854" s="139"/>
      <c r="E854" s="18"/>
      <c r="F854" s="28"/>
      <c r="G854" s="118"/>
      <c r="H854" s="35"/>
      <c r="I854" s="127"/>
      <c r="J854" s="122"/>
      <c r="K854" s="19"/>
      <c r="L854" s="19"/>
      <c r="M854" s="16"/>
    </row>
    <row r="855" spans="1:13" s="20" customFormat="1" ht="24.75" customHeight="1">
      <c r="A855" s="41"/>
      <c r="B855" s="17"/>
      <c r="C855" s="51"/>
      <c r="D855" s="139"/>
      <c r="E855" s="18"/>
      <c r="F855" s="28"/>
      <c r="G855" s="118"/>
      <c r="H855" s="35"/>
      <c r="I855" s="127"/>
      <c r="J855" s="122"/>
      <c r="K855" s="19"/>
      <c r="L855" s="19"/>
      <c r="M855" s="16"/>
    </row>
    <row r="856" spans="1:13" s="20" customFormat="1" ht="24.75" customHeight="1">
      <c r="A856" s="41"/>
      <c r="B856" s="17"/>
      <c r="C856" s="51"/>
      <c r="D856" s="139"/>
      <c r="E856" s="18"/>
      <c r="F856" s="28"/>
      <c r="G856" s="118"/>
      <c r="H856" s="35"/>
      <c r="I856" s="127"/>
      <c r="J856" s="122"/>
      <c r="K856" s="19"/>
      <c r="L856" s="19"/>
      <c r="M856" s="16"/>
    </row>
    <row r="857" spans="1:13" s="20" customFormat="1" ht="24.75" customHeight="1">
      <c r="A857" s="41"/>
      <c r="B857" s="17"/>
      <c r="C857" s="51"/>
      <c r="D857" s="139"/>
      <c r="E857" s="18"/>
      <c r="F857" s="28"/>
      <c r="G857" s="118"/>
      <c r="H857" s="35"/>
      <c r="I857" s="127"/>
      <c r="J857" s="122"/>
      <c r="K857" s="19"/>
      <c r="L857" s="19"/>
      <c r="M857" s="16"/>
    </row>
    <row r="858" spans="1:13" s="20" customFormat="1" ht="24.75" customHeight="1">
      <c r="A858" s="41"/>
      <c r="B858" s="17"/>
      <c r="C858" s="51"/>
      <c r="D858" s="139"/>
      <c r="E858" s="18"/>
      <c r="F858" s="28"/>
      <c r="G858" s="118"/>
      <c r="H858" s="35"/>
      <c r="I858" s="127"/>
      <c r="J858" s="122"/>
      <c r="K858" s="19"/>
      <c r="L858" s="19"/>
      <c r="M858" s="16"/>
    </row>
    <row r="859" spans="1:13" s="20" customFormat="1" ht="24.75" customHeight="1">
      <c r="A859" s="41"/>
      <c r="B859" s="17"/>
      <c r="C859" s="51"/>
      <c r="D859" s="139"/>
      <c r="E859" s="18"/>
      <c r="F859" s="28"/>
      <c r="G859" s="118"/>
      <c r="H859" s="35"/>
      <c r="I859" s="127"/>
      <c r="J859" s="122"/>
      <c r="K859" s="19"/>
      <c r="L859" s="19"/>
      <c r="M859" s="16"/>
    </row>
    <row r="860" spans="1:13" s="20" customFormat="1" ht="24.75" customHeight="1">
      <c r="A860" s="41"/>
      <c r="B860" s="17"/>
      <c r="C860" s="51"/>
      <c r="D860" s="139"/>
      <c r="E860" s="18"/>
      <c r="F860" s="28"/>
      <c r="G860" s="118"/>
      <c r="H860" s="35"/>
      <c r="I860" s="127"/>
      <c r="J860" s="122"/>
      <c r="K860" s="19"/>
      <c r="L860" s="19"/>
      <c r="M860" s="16"/>
    </row>
    <row r="861" spans="1:13" s="20" customFormat="1" ht="24.75" customHeight="1">
      <c r="A861" s="41"/>
      <c r="B861" s="17"/>
      <c r="C861" s="51"/>
      <c r="D861" s="139"/>
      <c r="E861" s="18"/>
      <c r="F861" s="28"/>
      <c r="G861" s="118"/>
      <c r="H861" s="35"/>
      <c r="I861" s="127"/>
      <c r="J861" s="122"/>
      <c r="K861" s="19"/>
      <c r="L861" s="19"/>
      <c r="M861" s="16"/>
    </row>
    <row r="862" spans="1:13" s="20" customFormat="1" ht="24.75" customHeight="1">
      <c r="A862" s="41"/>
      <c r="B862" s="17"/>
      <c r="C862" s="51"/>
      <c r="D862" s="139"/>
      <c r="E862" s="18"/>
      <c r="F862" s="28"/>
      <c r="G862" s="118"/>
      <c r="H862" s="35"/>
      <c r="I862" s="127"/>
      <c r="J862" s="122"/>
      <c r="K862" s="19"/>
      <c r="L862" s="19"/>
      <c r="M862" s="16"/>
    </row>
    <row r="863" spans="1:13" s="20" customFormat="1" ht="24.75" customHeight="1">
      <c r="A863" s="41"/>
      <c r="B863" s="17"/>
      <c r="C863" s="51"/>
      <c r="D863" s="139"/>
      <c r="E863" s="18"/>
      <c r="F863" s="28"/>
      <c r="G863" s="118"/>
      <c r="H863" s="35"/>
      <c r="I863" s="127"/>
      <c r="J863" s="122"/>
      <c r="K863" s="19"/>
      <c r="L863" s="19"/>
      <c r="M863" s="16"/>
    </row>
    <row r="864" spans="1:13" s="20" customFormat="1" ht="24.75" customHeight="1">
      <c r="A864" s="41"/>
      <c r="B864" s="17"/>
      <c r="C864" s="51"/>
      <c r="D864" s="139"/>
      <c r="E864" s="18"/>
      <c r="F864" s="28"/>
      <c r="G864" s="118"/>
      <c r="H864" s="35"/>
      <c r="I864" s="127"/>
      <c r="J864" s="122"/>
      <c r="K864" s="19"/>
      <c r="L864" s="19"/>
      <c r="M864" s="16"/>
    </row>
    <row r="865" spans="1:13" s="20" customFormat="1" ht="24.75" customHeight="1">
      <c r="A865" s="41"/>
      <c r="B865" s="17"/>
      <c r="C865" s="51"/>
      <c r="D865" s="139"/>
      <c r="E865" s="18"/>
      <c r="F865" s="28"/>
      <c r="G865" s="118"/>
      <c r="H865" s="35"/>
      <c r="I865" s="127"/>
      <c r="J865" s="122"/>
      <c r="K865" s="19"/>
      <c r="L865" s="19"/>
      <c r="M865" s="16"/>
    </row>
    <row r="866" spans="1:13" s="20" customFormat="1" ht="24.75" customHeight="1">
      <c r="A866" s="41"/>
      <c r="B866" s="17"/>
      <c r="C866" s="51"/>
      <c r="D866" s="139"/>
      <c r="E866" s="18"/>
      <c r="F866" s="28"/>
      <c r="G866" s="118"/>
      <c r="H866" s="35"/>
      <c r="I866" s="127"/>
      <c r="J866" s="122"/>
      <c r="K866" s="19"/>
      <c r="L866" s="19"/>
      <c r="M866" s="16"/>
    </row>
    <row r="867" spans="1:13" s="20" customFormat="1" ht="24.75" customHeight="1">
      <c r="A867" s="41"/>
      <c r="B867" s="17"/>
      <c r="C867" s="51"/>
      <c r="D867" s="139"/>
      <c r="E867" s="18"/>
      <c r="F867" s="28"/>
      <c r="G867" s="118"/>
      <c r="H867" s="35"/>
      <c r="I867" s="127"/>
      <c r="J867" s="122"/>
      <c r="K867" s="19"/>
      <c r="L867" s="19"/>
      <c r="M867" s="16"/>
    </row>
    <row r="868" spans="1:13" s="20" customFormat="1" ht="24.75" customHeight="1">
      <c r="A868" s="41"/>
      <c r="B868" s="17"/>
      <c r="C868" s="51"/>
      <c r="D868" s="139"/>
      <c r="E868" s="18"/>
      <c r="F868" s="28"/>
      <c r="G868" s="118"/>
      <c r="H868" s="35"/>
      <c r="I868" s="127"/>
      <c r="J868" s="122"/>
      <c r="K868" s="19"/>
      <c r="L868" s="19"/>
      <c r="M868" s="16"/>
    </row>
    <row r="869" spans="1:13" s="20" customFormat="1" ht="24.75" customHeight="1">
      <c r="A869" s="41"/>
      <c r="B869" s="17"/>
      <c r="C869" s="51"/>
      <c r="D869" s="139"/>
      <c r="E869" s="18"/>
      <c r="F869" s="28"/>
      <c r="G869" s="118"/>
      <c r="H869" s="35"/>
      <c r="I869" s="127"/>
      <c r="J869" s="122"/>
      <c r="K869" s="19"/>
      <c r="L869" s="19"/>
      <c r="M869" s="16"/>
    </row>
    <row r="870" spans="1:13" s="20" customFormat="1" ht="24.75" customHeight="1">
      <c r="A870" s="41"/>
      <c r="B870" s="17"/>
      <c r="C870" s="51"/>
      <c r="D870" s="139"/>
      <c r="E870" s="18"/>
      <c r="F870" s="28"/>
      <c r="G870" s="118"/>
      <c r="H870" s="35"/>
      <c r="I870" s="127"/>
      <c r="J870" s="122"/>
      <c r="K870" s="19"/>
      <c r="L870" s="19"/>
      <c r="M870" s="16"/>
    </row>
    <row r="871" spans="1:13" s="20" customFormat="1" ht="24.75" customHeight="1">
      <c r="A871" s="41"/>
      <c r="B871" s="17"/>
      <c r="C871" s="51"/>
      <c r="D871" s="139"/>
      <c r="E871" s="18"/>
      <c r="F871" s="28"/>
      <c r="G871" s="118"/>
      <c r="H871" s="35"/>
      <c r="I871" s="127"/>
      <c r="J871" s="122"/>
      <c r="K871" s="19"/>
      <c r="L871" s="19"/>
      <c r="M871" s="16"/>
    </row>
    <row r="872" spans="1:13" s="20" customFormat="1" ht="24.75" customHeight="1">
      <c r="A872" s="41"/>
      <c r="B872" s="17"/>
      <c r="C872" s="51"/>
      <c r="D872" s="139"/>
      <c r="E872" s="18"/>
      <c r="F872" s="28"/>
      <c r="G872" s="118"/>
      <c r="H872" s="35"/>
      <c r="I872" s="127"/>
      <c r="J872" s="122"/>
      <c r="K872" s="19"/>
      <c r="L872" s="19"/>
      <c r="M872" s="16"/>
    </row>
    <row r="873" spans="1:13" s="20" customFormat="1" ht="24.75" customHeight="1">
      <c r="A873" s="41"/>
      <c r="B873" s="17"/>
      <c r="C873" s="51"/>
      <c r="D873" s="139"/>
      <c r="E873" s="18"/>
      <c r="F873" s="28"/>
      <c r="G873" s="118"/>
      <c r="H873" s="35"/>
      <c r="I873" s="127"/>
      <c r="J873" s="122"/>
      <c r="K873" s="19"/>
      <c r="L873" s="19"/>
      <c r="M873" s="16"/>
    </row>
    <row r="874" spans="1:13" s="20" customFormat="1" ht="24.75" customHeight="1">
      <c r="A874" s="41"/>
      <c r="B874" s="17"/>
      <c r="C874" s="51"/>
      <c r="D874" s="139"/>
      <c r="E874" s="18"/>
      <c r="F874" s="28"/>
      <c r="G874" s="118"/>
      <c r="H874" s="35"/>
      <c r="I874" s="127"/>
      <c r="J874" s="122"/>
      <c r="K874" s="19"/>
      <c r="L874" s="19"/>
      <c r="M874" s="16"/>
    </row>
    <row r="875" spans="1:13" s="20" customFormat="1" ht="24.75" customHeight="1">
      <c r="A875" s="41"/>
      <c r="B875" s="17"/>
      <c r="C875" s="51"/>
      <c r="D875" s="139"/>
      <c r="E875" s="18"/>
      <c r="F875" s="28"/>
      <c r="G875" s="118"/>
      <c r="H875" s="35"/>
      <c r="I875" s="127"/>
      <c r="J875" s="122"/>
      <c r="K875" s="19"/>
      <c r="L875" s="19"/>
      <c r="M875" s="16"/>
    </row>
    <row r="876" spans="1:13" s="20" customFormat="1" ht="24.75" customHeight="1">
      <c r="A876" s="41"/>
      <c r="B876" s="17"/>
      <c r="C876" s="51"/>
      <c r="D876" s="139"/>
      <c r="E876" s="18"/>
      <c r="F876" s="28"/>
      <c r="G876" s="118"/>
      <c r="H876" s="35"/>
      <c r="I876" s="127"/>
      <c r="J876" s="122"/>
      <c r="K876" s="19"/>
      <c r="L876" s="19"/>
      <c r="M876" s="16"/>
    </row>
    <row r="877" spans="1:13" s="20" customFormat="1" ht="24.75" customHeight="1">
      <c r="A877" s="41"/>
      <c r="B877" s="17"/>
      <c r="C877" s="51"/>
      <c r="D877" s="139"/>
      <c r="E877" s="18"/>
      <c r="F877" s="28"/>
      <c r="G877" s="118"/>
      <c r="H877" s="35"/>
      <c r="I877" s="127"/>
      <c r="J877" s="122"/>
      <c r="K877" s="19"/>
      <c r="L877" s="19"/>
      <c r="M877" s="16"/>
    </row>
    <row r="878" spans="1:13" s="20" customFormat="1" ht="24.75" customHeight="1">
      <c r="A878" s="41"/>
      <c r="B878" s="17"/>
      <c r="C878" s="51"/>
      <c r="D878" s="139"/>
      <c r="E878" s="18"/>
      <c r="F878" s="28"/>
      <c r="G878" s="118"/>
      <c r="H878" s="35"/>
      <c r="I878" s="127"/>
      <c r="J878" s="122"/>
      <c r="K878" s="19"/>
      <c r="L878" s="19"/>
      <c r="M878" s="16"/>
    </row>
    <row r="879" spans="1:13" s="20" customFormat="1" ht="24.75" customHeight="1">
      <c r="A879" s="41"/>
      <c r="B879" s="17"/>
      <c r="C879" s="51"/>
      <c r="D879" s="139"/>
      <c r="E879" s="18"/>
      <c r="F879" s="28"/>
      <c r="G879" s="118"/>
      <c r="H879" s="35"/>
      <c r="I879" s="127"/>
      <c r="J879" s="122"/>
      <c r="K879" s="19"/>
      <c r="L879" s="19"/>
      <c r="M879" s="16"/>
    </row>
    <row r="880" spans="1:13" s="20" customFormat="1" ht="24.75" customHeight="1">
      <c r="A880" s="41"/>
      <c r="B880" s="17"/>
      <c r="C880" s="51"/>
      <c r="D880" s="139"/>
      <c r="E880" s="18"/>
      <c r="F880" s="28"/>
      <c r="G880" s="118"/>
      <c r="H880" s="35"/>
      <c r="I880" s="127"/>
      <c r="J880" s="122"/>
      <c r="K880" s="19"/>
      <c r="L880" s="19"/>
      <c r="M880" s="16"/>
    </row>
    <row r="881" spans="1:13" s="20" customFormat="1" ht="24.75" customHeight="1">
      <c r="A881" s="41"/>
      <c r="B881" s="17"/>
      <c r="C881" s="51"/>
      <c r="D881" s="139"/>
      <c r="E881" s="18"/>
      <c r="F881" s="28"/>
      <c r="G881" s="118"/>
      <c r="H881" s="35"/>
      <c r="I881" s="127"/>
      <c r="J881" s="122"/>
      <c r="K881" s="19"/>
      <c r="L881" s="19"/>
      <c r="M881" s="16"/>
    </row>
    <row r="882" spans="1:13" s="20" customFormat="1" ht="24.75" customHeight="1">
      <c r="A882" s="41"/>
      <c r="B882" s="17"/>
      <c r="C882" s="51"/>
      <c r="D882" s="139"/>
      <c r="E882" s="18"/>
      <c r="F882" s="28"/>
      <c r="G882" s="118"/>
      <c r="H882" s="35"/>
      <c r="I882" s="127"/>
      <c r="J882" s="122"/>
      <c r="K882" s="19"/>
      <c r="L882" s="19"/>
      <c r="M882" s="16"/>
    </row>
    <row r="883" spans="1:13" s="20" customFormat="1" ht="24.75" customHeight="1">
      <c r="A883" s="41"/>
      <c r="B883" s="17"/>
      <c r="C883" s="51"/>
      <c r="D883" s="139"/>
      <c r="E883" s="18"/>
      <c r="F883" s="28"/>
      <c r="G883" s="118"/>
      <c r="H883" s="35"/>
      <c r="I883" s="127"/>
      <c r="J883" s="122"/>
      <c r="K883" s="19"/>
      <c r="L883" s="19"/>
      <c r="M883" s="16"/>
    </row>
    <row r="884" spans="1:13" s="20" customFormat="1" ht="24.75" customHeight="1">
      <c r="A884" s="41"/>
      <c r="B884" s="17"/>
      <c r="C884" s="51"/>
      <c r="D884" s="139"/>
      <c r="E884" s="18"/>
      <c r="F884" s="28"/>
      <c r="G884" s="118"/>
      <c r="H884" s="35"/>
      <c r="I884" s="127"/>
      <c r="J884" s="122"/>
      <c r="K884" s="19"/>
      <c r="L884" s="19"/>
      <c r="M884" s="16"/>
    </row>
    <row r="885" spans="1:13" s="20" customFormat="1" ht="24.75" customHeight="1">
      <c r="A885" s="41"/>
      <c r="B885" s="17"/>
      <c r="C885" s="51"/>
      <c r="D885" s="139"/>
      <c r="E885" s="18"/>
      <c r="F885" s="28"/>
      <c r="G885" s="118"/>
      <c r="H885" s="35"/>
      <c r="I885" s="127"/>
      <c r="J885" s="122"/>
      <c r="K885" s="19"/>
      <c r="L885" s="19"/>
      <c r="M885" s="16"/>
    </row>
    <row r="886" spans="1:13" s="20" customFormat="1" ht="24.75" customHeight="1">
      <c r="A886" s="41"/>
      <c r="B886" s="17"/>
      <c r="C886" s="51"/>
      <c r="D886" s="139"/>
      <c r="E886" s="18"/>
      <c r="F886" s="28"/>
      <c r="G886" s="118"/>
      <c r="H886" s="35"/>
      <c r="I886" s="127"/>
      <c r="J886" s="122"/>
      <c r="K886" s="19"/>
      <c r="L886" s="19"/>
      <c r="M886" s="16"/>
    </row>
    <row r="887" spans="1:13" s="20" customFormat="1" ht="24.75" customHeight="1">
      <c r="A887" s="41"/>
      <c r="B887" s="17"/>
      <c r="C887" s="51"/>
      <c r="D887" s="139"/>
      <c r="E887" s="18"/>
      <c r="F887" s="28"/>
      <c r="G887" s="118"/>
      <c r="H887" s="35"/>
      <c r="I887" s="127"/>
      <c r="J887" s="122"/>
      <c r="K887" s="19"/>
      <c r="L887" s="19"/>
      <c r="M887" s="16"/>
    </row>
    <row r="888" spans="1:13" s="20" customFormat="1" ht="24.75" customHeight="1">
      <c r="A888" s="41"/>
      <c r="B888" s="17"/>
      <c r="C888" s="51"/>
      <c r="D888" s="139"/>
      <c r="E888" s="18"/>
      <c r="F888" s="28"/>
      <c r="G888" s="118"/>
      <c r="H888" s="35"/>
      <c r="I888" s="127"/>
      <c r="J888" s="122"/>
      <c r="K888" s="19"/>
      <c r="L888" s="19"/>
      <c r="M888" s="16"/>
    </row>
    <row r="889" spans="1:13" s="20" customFormat="1" ht="24.75" customHeight="1">
      <c r="A889" s="41"/>
      <c r="B889" s="17"/>
      <c r="C889" s="51"/>
      <c r="D889" s="139"/>
      <c r="E889" s="18"/>
      <c r="F889" s="28"/>
      <c r="G889" s="118"/>
      <c r="H889" s="35"/>
      <c r="I889" s="127"/>
      <c r="J889" s="122"/>
      <c r="K889" s="19"/>
      <c r="L889" s="19"/>
      <c r="M889" s="16"/>
    </row>
    <row r="890" spans="1:13" s="20" customFormat="1" ht="24.75" customHeight="1">
      <c r="A890" s="41"/>
      <c r="B890" s="17"/>
      <c r="C890" s="51"/>
      <c r="D890" s="139"/>
      <c r="E890" s="18"/>
      <c r="F890" s="28"/>
      <c r="G890" s="118"/>
      <c r="H890" s="35"/>
      <c r="I890" s="127"/>
      <c r="J890" s="122"/>
      <c r="K890" s="19"/>
      <c r="L890" s="19"/>
      <c r="M890" s="16"/>
    </row>
    <row r="891" spans="1:13" s="20" customFormat="1" ht="24.75" customHeight="1">
      <c r="A891" s="41"/>
      <c r="B891" s="17"/>
      <c r="C891" s="51"/>
      <c r="D891" s="139"/>
      <c r="E891" s="18"/>
      <c r="F891" s="28"/>
      <c r="G891" s="118"/>
      <c r="H891" s="35"/>
      <c r="I891" s="127"/>
      <c r="J891" s="122"/>
      <c r="K891" s="19"/>
      <c r="L891" s="19"/>
      <c r="M891" s="16"/>
    </row>
    <row r="892" spans="1:13" s="20" customFormat="1" ht="24.75" customHeight="1">
      <c r="A892" s="41"/>
      <c r="B892" s="17"/>
      <c r="C892" s="51"/>
      <c r="D892" s="139"/>
      <c r="E892" s="18"/>
      <c r="F892" s="28"/>
      <c r="G892" s="118"/>
      <c r="H892" s="35"/>
      <c r="I892" s="127"/>
      <c r="J892" s="122"/>
      <c r="K892" s="19"/>
      <c r="L892" s="19"/>
      <c r="M892" s="16"/>
    </row>
    <row r="893" spans="1:13" s="20" customFormat="1" ht="24.75" customHeight="1">
      <c r="A893" s="41"/>
      <c r="B893" s="17"/>
      <c r="C893" s="51"/>
      <c r="D893" s="139"/>
      <c r="E893" s="18"/>
      <c r="F893" s="28"/>
      <c r="G893" s="118"/>
      <c r="H893" s="35"/>
      <c r="I893" s="127"/>
      <c r="J893" s="122"/>
      <c r="K893" s="19"/>
      <c r="L893" s="19"/>
      <c r="M893" s="16"/>
    </row>
    <row r="894" spans="1:13" s="20" customFormat="1" ht="24.75" customHeight="1">
      <c r="A894" s="41"/>
      <c r="B894" s="17"/>
      <c r="C894" s="51"/>
      <c r="D894" s="139"/>
      <c r="E894" s="18"/>
      <c r="F894" s="28"/>
      <c r="G894" s="118"/>
      <c r="H894" s="35"/>
      <c r="I894" s="127"/>
      <c r="J894" s="122"/>
      <c r="K894" s="19"/>
      <c r="L894" s="19"/>
      <c r="M894" s="16"/>
    </row>
    <row r="895" spans="1:13" s="20" customFormat="1" ht="24.75" customHeight="1">
      <c r="A895" s="41"/>
      <c r="B895" s="17"/>
      <c r="C895" s="51"/>
      <c r="D895" s="139"/>
      <c r="E895" s="18"/>
      <c r="F895" s="28"/>
      <c r="G895" s="118"/>
      <c r="H895" s="35"/>
      <c r="I895" s="127"/>
      <c r="J895" s="122"/>
      <c r="K895" s="19"/>
      <c r="L895" s="19"/>
      <c r="M895" s="16"/>
    </row>
    <row r="896" spans="1:13" s="20" customFormat="1" ht="24.75" customHeight="1">
      <c r="A896" s="41"/>
      <c r="B896" s="17"/>
      <c r="C896" s="51"/>
      <c r="D896" s="139"/>
      <c r="E896" s="18"/>
      <c r="F896" s="28"/>
      <c r="G896" s="118"/>
      <c r="H896" s="35"/>
      <c r="I896" s="127"/>
      <c r="J896" s="122"/>
      <c r="K896" s="19"/>
      <c r="L896" s="19"/>
      <c r="M896" s="16"/>
    </row>
    <row r="897" spans="1:13" s="20" customFormat="1" ht="24.75" customHeight="1">
      <c r="A897" s="41"/>
      <c r="B897" s="17"/>
      <c r="C897" s="51"/>
      <c r="D897" s="139"/>
      <c r="E897" s="18"/>
      <c r="F897" s="28"/>
      <c r="G897" s="118"/>
      <c r="H897" s="35"/>
      <c r="I897" s="127"/>
      <c r="J897" s="122"/>
      <c r="K897" s="19"/>
      <c r="L897" s="19"/>
      <c r="M897" s="16"/>
    </row>
    <row r="898" spans="1:13" s="20" customFormat="1" ht="24.75" customHeight="1">
      <c r="A898" s="41"/>
      <c r="B898" s="17"/>
      <c r="C898" s="51"/>
      <c r="D898" s="139"/>
      <c r="E898" s="18"/>
      <c r="F898" s="28"/>
      <c r="G898" s="118"/>
      <c r="H898" s="35"/>
      <c r="I898" s="127"/>
      <c r="J898" s="122"/>
      <c r="K898" s="19"/>
      <c r="L898" s="19"/>
      <c r="M898" s="16"/>
    </row>
    <row r="899" spans="1:13" s="20" customFormat="1" ht="24.75" customHeight="1">
      <c r="A899" s="41"/>
      <c r="B899" s="17"/>
      <c r="C899" s="51"/>
      <c r="D899" s="139"/>
      <c r="E899" s="18"/>
      <c r="F899" s="28"/>
      <c r="G899" s="118"/>
      <c r="H899" s="35"/>
      <c r="I899" s="127"/>
      <c r="J899" s="122"/>
      <c r="K899" s="19"/>
      <c r="L899" s="19"/>
      <c r="M899" s="16"/>
    </row>
    <row r="900" spans="1:13" s="20" customFormat="1" ht="24.75" customHeight="1">
      <c r="A900" s="41"/>
      <c r="B900" s="17"/>
      <c r="C900" s="51"/>
      <c r="D900" s="139"/>
      <c r="E900" s="18"/>
      <c r="F900" s="28"/>
      <c r="G900" s="118"/>
      <c r="H900" s="35"/>
      <c r="I900" s="127"/>
      <c r="J900" s="122"/>
      <c r="K900" s="19"/>
      <c r="L900" s="19"/>
      <c r="M900" s="16"/>
    </row>
    <row r="901" spans="1:13" s="20" customFormat="1" ht="24.75" customHeight="1">
      <c r="A901" s="41"/>
      <c r="B901" s="17"/>
      <c r="C901" s="51"/>
      <c r="D901" s="139"/>
      <c r="E901" s="18"/>
      <c r="F901" s="28"/>
      <c r="G901" s="118"/>
      <c r="H901" s="35"/>
      <c r="I901" s="127"/>
      <c r="J901" s="122"/>
      <c r="K901" s="19"/>
      <c r="L901" s="19"/>
      <c r="M901" s="16"/>
    </row>
    <row r="902" spans="1:13" s="20" customFormat="1" ht="24.75" customHeight="1">
      <c r="A902" s="41"/>
      <c r="B902" s="17"/>
      <c r="C902" s="51"/>
      <c r="D902" s="139"/>
      <c r="E902" s="18"/>
      <c r="F902" s="28"/>
      <c r="G902" s="118"/>
      <c r="H902" s="35"/>
      <c r="I902" s="127"/>
      <c r="J902" s="122"/>
      <c r="K902" s="19"/>
      <c r="L902" s="19"/>
      <c r="M902" s="16"/>
    </row>
    <row r="903" spans="1:13" s="20" customFormat="1" ht="24.75" customHeight="1">
      <c r="A903" s="41"/>
      <c r="B903" s="17"/>
      <c r="C903" s="51"/>
      <c r="D903" s="139"/>
      <c r="E903" s="18"/>
      <c r="F903" s="28"/>
      <c r="G903" s="118"/>
      <c r="H903" s="35"/>
      <c r="I903" s="127"/>
      <c r="J903" s="122"/>
      <c r="K903" s="19"/>
      <c r="L903" s="19"/>
      <c r="M903" s="16"/>
    </row>
    <row r="904" spans="1:13" s="20" customFormat="1" ht="24.75" customHeight="1">
      <c r="A904" s="41"/>
      <c r="B904" s="17"/>
      <c r="C904" s="51"/>
      <c r="D904" s="139"/>
      <c r="E904" s="18"/>
      <c r="F904" s="28"/>
      <c r="G904" s="118"/>
      <c r="H904" s="35"/>
      <c r="I904" s="127"/>
      <c r="J904" s="122"/>
      <c r="K904" s="19"/>
      <c r="L904" s="19"/>
      <c r="M904" s="16"/>
    </row>
    <row r="905" spans="1:13" s="20" customFormat="1" ht="24.75" customHeight="1">
      <c r="A905" s="41"/>
      <c r="B905" s="17"/>
      <c r="C905" s="51"/>
      <c r="D905" s="139"/>
      <c r="E905" s="18"/>
      <c r="F905" s="28"/>
      <c r="G905" s="118"/>
      <c r="H905" s="35"/>
      <c r="I905" s="127"/>
      <c r="J905" s="122"/>
      <c r="K905" s="19"/>
      <c r="L905" s="19"/>
      <c r="M905" s="16"/>
    </row>
    <row r="906" spans="1:13" s="20" customFormat="1" ht="24.75" customHeight="1">
      <c r="A906" s="41"/>
      <c r="B906" s="17"/>
      <c r="C906" s="51"/>
      <c r="D906" s="139"/>
      <c r="E906" s="18"/>
      <c r="F906" s="28"/>
      <c r="G906" s="118"/>
      <c r="H906" s="35"/>
      <c r="I906" s="127"/>
      <c r="J906" s="122"/>
      <c r="K906" s="19"/>
      <c r="L906" s="19"/>
      <c r="M906" s="16"/>
    </row>
    <row r="907" spans="1:13" s="20" customFormat="1" ht="24.75" customHeight="1">
      <c r="A907" s="41"/>
      <c r="B907" s="17"/>
      <c r="C907" s="51"/>
      <c r="D907" s="139"/>
      <c r="E907" s="18"/>
      <c r="F907" s="28"/>
      <c r="G907" s="118"/>
      <c r="H907" s="35"/>
      <c r="I907" s="127"/>
      <c r="J907" s="122"/>
      <c r="K907" s="19"/>
      <c r="L907" s="19"/>
      <c r="M907" s="16"/>
    </row>
    <row r="908" spans="1:13" s="20" customFormat="1" ht="24.75" customHeight="1">
      <c r="A908" s="41"/>
      <c r="B908" s="17"/>
      <c r="C908" s="51"/>
      <c r="D908" s="139"/>
      <c r="E908" s="18"/>
      <c r="F908" s="28"/>
      <c r="G908" s="118"/>
      <c r="H908" s="35"/>
      <c r="I908" s="127"/>
      <c r="J908" s="122"/>
      <c r="K908" s="19"/>
      <c r="L908" s="19"/>
      <c r="M908" s="16"/>
    </row>
    <row r="909" spans="1:13" s="20" customFormat="1" ht="24.75" customHeight="1">
      <c r="A909" s="41"/>
      <c r="B909" s="17"/>
      <c r="C909" s="51"/>
      <c r="D909" s="139"/>
      <c r="E909" s="18"/>
      <c r="F909" s="28"/>
      <c r="G909" s="118"/>
      <c r="H909" s="35"/>
      <c r="I909" s="127"/>
      <c r="J909" s="122"/>
      <c r="K909" s="19"/>
      <c r="L909" s="19"/>
      <c r="M909" s="16"/>
    </row>
    <row r="910" spans="1:13" s="20" customFormat="1" ht="24.75" customHeight="1">
      <c r="A910" s="41"/>
      <c r="B910" s="17"/>
      <c r="C910" s="51"/>
      <c r="D910" s="139"/>
      <c r="E910" s="18"/>
      <c r="F910" s="28"/>
      <c r="G910" s="118"/>
      <c r="H910" s="35"/>
      <c r="I910" s="127"/>
      <c r="J910" s="122"/>
      <c r="K910" s="19"/>
      <c r="L910" s="19"/>
      <c r="M910" s="16"/>
    </row>
    <row r="911" spans="1:13" s="20" customFormat="1" ht="24.75" customHeight="1">
      <c r="A911" s="41"/>
      <c r="B911" s="17"/>
      <c r="C911" s="51"/>
      <c r="D911" s="139"/>
      <c r="E911" s="18"/>
      <c r="F911" s="28"/>
      <c r="G911" s="118"/>
      <c r="H911" s="35"/>
      <c r="I911" s="127"/>
      <c r="J911" s="122"/>
      <c r="K911" s="19"/>
      <c r="L911" s="19"/>
      <c r="M911" s="16"/>
    </row>
    <row r="912" spans="1:13" s="20" customFormat="1" ht="24.75" customHeight="1">
      <c r="A912" s="41"/>
      <c r="B912" s="17"/>
      <c r="C912" s="51"/>
      <c r="D912" s="139"/>
      <c r="E912" s="18"/>
      <c r="F912" s="28"/>
      <c r="G912" s="118"/>
      <c r="H912" s="35"/>
      <c r="I912" s="127"/>
      <c r="J912" s="122"/>
      <c r="K912" s="19"/>
      <c r="L912" s="19"/>
      <c r="M912" s="16"/>
    </row>
    <row r="913" spans="1:13" s="20" customFormat="1" ht="24.75" customHeight="1">
      <c r="A913" s="41"/>
      <c r="B913" s="17"/>
      <c r="C913" s="51"/>
      <c r="D913" s="139"/>
      <c r="E913" s="18"/>
      <c r="F913" s="28"/>
      <c r="G913" s="118"/>
      <c r="H913" s="35"/>
      <c r="I913" s="127"/>
      <c r="J913" s="122"/>
      <c r="K913" s="19"/>
      <c r="L913" s="19"/>
      <c r="M913" s="16"/>
    </row>
    <row r="914" spans="1:13" s="20" customFormat="1" ht="24.75" customHeight="1">
      <c r="A914" s="41"/>
      <c r="B914" s="17"/>
      <c r="C914" s="51"/>
      <c r="D914" s="139"/>
      <c r="E914" s="18"/>
      <c r="F914" s="28"/>
      <c r="G914" s="118"/>
      <c r="H914" s="35"/>
      <c r="I914" s="127"/>
      <c r="J914" s="122"/>
      <c r="K914" s="19"/>
      <c r="L914" s="19"/>
      <c r="M914" s="16"/>
    </row>
    <row r="915" spans="1:13" s="20" customFormat="1" ht="24.75" customHeight="1">
      <c r="A915" s="41"/>
      <c r="B915" s="17"/>
      <c r="C915" s="51"/>
      <c r="D915" s="139"/>
      <c r="E915" s="18"/>
      <c r="F915" s="28"/>
      <c r="G915" s="118"/>
      <c r="H915" s="35"/>
      <c r="I915" s="127"/>
      <c r="J915" s="122"/>
      <c r="K915" s="19"/>
      <c r="L915" s="19"/>
      <c r="M915" s="16"/>
    </row>
    <row r="916" spans="1:13" s="20" customFormat="1" ht="24.75" customHeight="1">
      <c r="A916" s="41"/>
      <c r="B916" s="17"/>
      <c r="C916" s="51"/>
      <c r="D916" s="139"/>
      <c r="E916" s="18"/>
      <c r="F916" s="28"/>
      <c r="G916" s="118"/>
      <c r="H916" s="35"/>
      <c r="I916" s="127"/>
      <c r="J916" s="122"/>
      <c r="K916" s="19"/>
      <c r="L916" s="19"/>
      <c r="M916" s="16"/>
    </row>
    <row r="917" spans="1:13" s="20" customFormat="1" ht="24.75" customHeight="1">
      <c r="A917" s="41"/>
      <c r="B917" s="17"/>
      <c r="C917" s="51"/>
      <c r="D917" s="139"/>
      <c r="E917" s="18"/>
      <c r="F917" s="28"/>
      <c r="G917" s="118"/>
      <c r="H917" s="35"/>
      <c r="I917" s="127"/>
      <c r="J917" s="122"/>
      <c r="K917" s="19"/>
      <c r="L917" s="19"/>
      <c r="M917" s="16"/>
    </row>
    <row r="918" spans="1:13" s="20" customFormat="1" ht="24.75" customHeight="1">
      <c r="A918" s="41"/>
      <c r="B918" s="17"/>
      <c r="C918" s="51"/>
      <c r="D918" s="139"/>
      <c r="E918" s="18"/>
      <c r="F918" s="28"/>
      <c r="G918" s="118"/>
      <c r="H918" s="35"/>
      <c r="I918" s="127"/>
      <c r="J918" s="122"/>
      <c r="K918" s="19"/>
      <c r="L918" s="19"/>
      <c r="M918" s="16"/>
    </row>
    <row r="919" spans="1:13" s="20" customFormat="1" ht="24.75" customHeight="1">
      <c r="A919" s="41"/>
      <c r="B919" s="17"/>
      <c r="C919" s="51"/>
      <c r="D919" s="139"/>
      <c r="E919" s="18"/>
      <c r="F919" s="28"/>
      <c r="G919" s="118"/>
      <c r="H919" s="35"/>
      <c r="I919" s="127"/>
      <c r="J919" s="122"/>
      <c r="K919" s="19"/>
      <c r="L919" s="19"/>
      <c r="M919" s="16"/>
    </row>
    <row r="920" spans="1:13" s="20" customFormat="1" ht="24.75" customHeight="1">
      <c r="A920" s="41"/>
      <c r="B920" s="17"/>
      <c r="C920" s="51"/>
      <c r="D920" s="139"/>
      <c r="E920" s="18"/>
      <c r="F920" s="28"/>
      <c r="G920" s="118"/>
      <c r="H920" s="35"/>
      <c r="I920" s="127"/>
      <c r="J920" s="122"/>
      <c r="K920" s="19"/>
      <c r="L920" s="19"/>
      <c r="M920" s="16"/>
    </row>
    <row r="921" spans="1:13" s="20" customFormat="1" ht="24.75" customHeight="1">
      <c r="A921" s="41"/>
      <c r="B921" s="17"/>
      <c r="C921" s="51"/>
      <c r="D921" s="139"/>
      <c r="E921" s="18"/>
      <c r="F921" s="28"/>
      <c r="G921" s="118"/>
      <c r="H921" s="35"/>
      <c r="I921" s="127"/>
      <c r="J921" s="122"/>
      <c r="K921" s="19"/>
      <c r="L921" s="19"/>
      <c r="M921" s="16"/>
    </row>
    <row r="922" spans="1:13" s="20" customFormat="1" ht="24.75" customHeight="1">
      <c r="A922" s="41"/>
      <c r="B922" s="17"/>
      <c r="C922" s="51"/>
      <c r="D922" s="139"/>
      <c r="E922" s="18"/>
      <c r="F922" s="28"/>
      <c r="G922" s="118"/>
      <c r="H922" s="35"/>
      <c r="I922" s="127"/>
      <c r="J922" s="122"/>
      <c r="K922" s="19"/>
      <c r="L922" s="19"/>
      <c r="M922" s="16"/>
    </row>
    <row r="923" spans="1:13" s="20" customFormat="1" ht="24.75" customHeight="1">
      <c r="A923" s="41"/>
      <c r="B923" s="17"/>
      <c r="C923" s="51"/>
      <c r="D923" s="139"/>
      <c r="E923" s="18"/>
      <c r="F923" s="28"/>
      <c r="G923" s="118"/>
      <c r="H923" s="35"/>
      <c r="I923" s="127"/>
      <c r="J923" s="122"/>
      <c r="K923" s="19"/>
      <c r="L923" s="19"/>
      <c r="M923" s="16"/>
    </row>
    <row r="924" spans="1:13" s="20" customFormat="1" ht="24.75" customHeight="1">
      <c r="A924" s="41"/>
      <c r="B924" s="17"/>
      <c r="C924" s="51"/>
      <c r="D924" s="139"/>
      <c r="E924" s="18"/>
      <c r="F924" s="28"/>
      <c r="G924" s="118"/>
      <c r="H924" s="35"/>
      <c r="I924" s="127"/>
      <c r="J924" s="122"/>
      <c r="K924" s="19"/>
      <c r="L924" s="19"/>
      <c r="M924" s="16"/>
    </row>
    <row r="925" spans="1:13" s="20" customFormat="1" ht="24.75" customHeight="1">
      <c r="A925" s="41"/>
      <c r="B925" s="17"/>
      <c r="C925" s="51"/>
      <c r="D925" s="139"/>
      <c r="E925" s="18"/>
      <c r="F925" s="28"/>
      <c r="G925" s="118"/>
      <c r="H925" s="35"/>
      <c r="I925" s="127"/>
      <c r="J925" s="122"/>
      <c r="K925" s="19"/>
      <c r="L925" s="19"/>
      <c r="M925" s="16"/>
    </row>
    <row r="926" spans="1:13" s="20" customFormat="1" ht="24.75" customHeight="1">
      <c r="A926" s="41"/>
      <c r="B926" s="17"/>
      <c r="C926" s="51"/>
      <c r="D926" s="139"/>
      <c r="E926" s="18"/>
      <c r="F926" s="28"/>
      <c r="G926" s="118"/>
      <c r="H926" s="35"/>
      <c r="I926" s="127"/>
      <c r="J926" s="122"/>
      <c r="K926" s="19"/>
      <c r="L926" s="19"/>
      <c r="M926" s="16"/>
    </row>
    <row r="927" spans="1:13" s="20" customFormat="1" ht="24.75" customHeight="1">
      <c r="A927" s="41"/>
      <c r="B927" s="17"/>
      <c r="C927" s="51"/>
      <c r="D927" s="139"/>
      <c r="E927" s="18"/>
      <c r="F927" s="28"/>
      <c r="G927" s="118"/>
      <c r="H927" s="35"/>
      <c r="I927" s="127"/>
      <c r="J927" s="122"/>
      <c r="K927" s="19"/>
      <c r="L927" s="19"/>
      <c r="M927" s="16"/>
    </row>
    <row r="928" spans="1:13" s="20" customFormat="1" ht="24.75" customHeight="1">
      <c r="A928" s="41"/>
      <c r="B928" s="17"/>
      <c r="C928" s="51"/>
      <c r="D928" s="139"/>
      <c r="E928" s="18"/>
      <c r="F928" s="28"/>
      <c r="G928" s="118"/>
      <c r="H928" s="35"/>
      <c r="I928" s="127"/>
      <c r="J928" s="122"/>
      <c r="K928" s="19"/>
      <c r="L928" s="19"/>
      <c r="M928" s="16"/>
    </row>
    <row r="929" spans="1:13" s="20" customFormat="1" ht="24.75" customHeight="1">
      <c r="A929" s="41"/>
      <c r="B929" s="17"/>
      <c r="C929" s="51"/>
      <c r="D929" s="139"/>
      <c r="E929" s="18"/>
      <c r="F929" s="28"/>
      <c r="G929" s="118"/>
      <c r="H929" s="35"/>
      <c r="I929" s="127"/>
      <c r="J929" s="122"/>
      <c r="K929" s="19"/>
      <c r="L929" s="19"/>
      <c r="M929" s="16"/>
    </row>
    <row r="930" spans="1:13" s="20" customFormat="1" ht="24.75" customHeight="1">
      <c r="A930" s="41"/>
      <c r="B930" s="17"/>
      <c r="C930" s="51"/>
      <c r="D930" s="139"/>
      <c r="E930" s="18"/>
      <c r="F930" s="28"/>
      <c r="G930" s="118"/>
      <c r="H930" s="35"/>
      <c r="I930" s="127"/>
      <c r="J930" s="122"/>
      <c r="K930" s="19"/>
      <c r="L930" s="19"/>
      <c r="M930" s="16"/>
    </row>
    <row r="931" spans="1:13" s="20" customFormat="1" ht="24.75" customHeight="1">
      <c r="A931" s="41"/>
      <c r="B931" s="17"/>
      <c r="C931" s="51"/>
      <c r="D931" s="139"/>
      <c r="E931" s="18"/>
      <c r="F931" s="28"/>
      <c r="G931" s="118"/>
      <c r="H931" s="35"/>
      <c r="I931" s="127"/>
      <c r="J931" s="122"/>
      <c r="K931" s="19"/>
      <c r="L931" s="19"/>
      <c r="M931" s="16"/>
    </row>
    <row r="932" spans="1:13" s="20" customFormat="1" ht="24.75" customHeight="1">
      <c r="A932" s="41"/>
      <c r="B932" s="17"/>
      <c r="C932" s="51"/>
      <c r="D932" s="139"/>
      <c r="E932" s="18"/>
      <c r="F932" s="28"/>
      <c r="G932" s="118"/>
      <c r="H932" s="35"/>
      <c r="I932" s="127"/>
      <c r="J932" s="122"/>
      <c r="K932" s="19"/>
      <c r="L932" s="19"/>
      <c r="M932" s="16"/>
    </row>
    <row r="933" spans="1:13" s="20" customFormat="1" ht="24.75" customHeight="1">
      <c r="A933" s="41"/>
      <c r="B933" s="17"/>
      <c r="C933" s="51"/>
      <c r="D933" s="139"/>
      <c r="E933" s="18"/>
      <c r="F933" s="28"/>
      <c r="G933" s="118"/>
      <c r="H933" s="35"/>
      <c r="I933" s="127"/>
      <c r="J933" s="122"/>
      <c r="K933" s="19"/>
      <c r="L933" s="19"/>
      <c r="M933" s="16"/>
    </row>
    <row r="934" spans="1:13" s="20" customFormat="1" ht="24.75" customHeight="1">
      <c r="A934" s="41"/>
      <c r="B934" s="17"/>
      <c r="C934" s="51"/>
      <c r="D934" s="139"/>
      <c r="E934" s="18"/>
      <c r="F934" s="28"/>
      <c r="G934" s="118"/>
      <c r="H934" s="35"/>
      <c r="I934" s="127"/>
      <c r="J934" s="122"/>
      <c r="K934" s="19"/>
      <c r="L934" s="19"/>
      <c r="M934" s="16"/>
    </row>
    <row r="935" spans="1:13" s="20" customFormat="1" ht="24.75" customHeight="1">
      <c r="A935" s="41"/>
      <c r="B935" s="17"/>
      <c r="C935" s="51"/>
      <c r="D935" s="139"/>
      <c r="E935" s="18"/>
      <c r="F935" s="28"/>
      <c r="G935" s="118"/>
      <c r="H935" s="35"/>
      <c r="I935" s="127"/>
      <c r="J935" s="122"/>
      <c r="K935" s="19"/>
      <c r="L935" s="19"/>
      <c r="M935" s="16"/>
    </row>
    <row r="936" spans="1:13" s="20" customFormat="1" ht="24.75" customHeight="1">
      <c r="A936" s="41"/>
      <c r="B936" s="17"/>
      <c r="C936" s="51"/>
      <c r="D936" s="139"/>
      <c r="E936" s="18"/>
      <c r="F936" s="28"/>
      <c r="G936" s="118"/>
      <c r="H936" s="35"/>
      <c r="I936" s="127"/>
      <c r="J936" s="122"/>
      <c r="K936" s="19"/>
      <c r="L936" s="19"/>
      <c r="M936" s="16"/>
    </row>
    <row r="937" spans="1:13" s="20" customFormat="1" ht="24.75" customHeight="1">
      <c r="A937" s="41"/>
      <c r="B937" s="17"/>
      <c r="C937" s="51"/>
      <c r="D937" s="139"/>
      <c r="E937" s="18"/>
      <c r="F937" s="28"/>
      <c r="G937" s="118"/>
      <c r="H937" s="35"/>
      <c r="I937" s="127"/>
      <c r="J937" s="122"/>
      <c r="K937" s="19"/>
      <c r="L937" s="19"/>
      <c r="M937" s="16"/>
    </row>
    <row r="938" spans="1:13" s="20" customFormat="1" ht="24.75" customHeight="1">
      <c r="A938" s="41"/>
      <c r="B938" s="17"/>
      <c r="C938" s="51"/>
      <c r="D938" s="139"/>
      <c r="E938" s="18"/>
      <c r="F938" s="28"/>
      <c r="G938" s="118"/>
      <c r="H938" s="35"/>
      <c r="I938" s="127"/>
      <c r="J938" s="122"/>
      <c r="K938" s="19"/>
      <c r="L938" s="19"/>
      <c r="M938" s="16"/>
    </row>
    <row r="939" spans="1:13" s="20" customFormat="1" ht="24.75" customHeight="1">
      <c r="A939" s="41"/>
      <c r="B939" s="17"/>
      <c r="C939" s="51"/>
      <c r="D939" s="139"/>
      <c r="E939" s="18"/>
      <c r="F939" s="28"/>
      <c r="G939" s="118"/>
      <c r="H939" s="35"/>
      <c r="I939" s="127"/>
      <c r="J939" s="122"/>
      <c r="K939" s="19"/>
      <c r="L939" s="19"/>
      <c r="M939" s="16"/>
    </row>
    <row r="940" spans="1:13" s="20" customFormat="1" ht="24.75" customHeight="1">
      <c r="A940" s="41"/>
      <c r="B940" s="17"/>
      <c r="C940" s="51"/>
      <c r="D940" s="139"/>
      <c r="E940" s="18"/>
      <c r="F940" s="28"/>
      <c r="G940" s="118"/>
      <c r="H940" s="35"/>
      <c r="I940" s="127"/>
      <c r="J940" s="122"/>
      <c r="K940" s="19"/>
      <c r="L940" s="19"/>
      <c r="M940" s="16"/>
    </row>
    <row r="941" spans="1:13" s="20" customFormat="1" ht="24.75" customHeight="1">
      <c r="A941" s="41"/>
      <c r="B941" s="17"/>
      <c r="C941" s="51"/>
      <c r="D941" s="139"/>
      <c r="E941" s="18"/>
      <c r="F941" s="28"/>
      <c r="G941" s="118"/>
      <c r="H941" s="35"/>
      <c r="I941" s="127"/>
      <c r="J941" s="122"/>
      <c r="K941" s="19"/>
      <c r="L941" s="19"/>
      <c r="M941" s="16"/>
    </row>
    <row r="942" spans="1:13" s="20" customFormat="1" ht="24.75" customHeight="1">
      <c r="A942" s="41"/>
      <c r="B942" s="17"/>
      <c r="C942" s="51"/>
      <c r="D942" s="139"/>
      <c r="E942" s="18"/>
      <c r="F942" s="28"/>
      <c r="G942" s="118"/>
      <c r="H942" s="35"/>
      <c r="I942" s="127"/>
      <c r="J942" s="122"/>
      <c r="K942" s="19"/>
      <c r="L942" s="19"/>
      <c r="M942" s="16"/>
    </row>
    <row r="943" spans="1:13" s="20" customFormat="1" ht="24.75" customHeight="1">
      <c r="A943" s="41"/>
      <c r="B943" s="17"/>
      <c r="C943" s="51"/>
      <c r="D943" s="139"/>
      <c r="E943" s="18"/>
      <c r="F943" s="28"/>
      <c r="G943" s="118"/>
      <c r="H943" s="35"/>
      <c r="I943" s="127"/>
      <c r="J943" s="122"/>
      <c r="K943" s="19"/>
      <c r="L943" s="19"/>
      <c r="M943" s="16"/>
    </row>
    <row r="944" spans="1:13" s="20" customFormat="1" ht="24.75" customHeight="1">
      <c r="A944" s="41"/>
      <c r="B944" s="17"/>
      <c r="C944" s="51"/>
      <c r="D944" s="139"/>
      <c r="E944" s="18"/>
      <c r="F944" s="28"/>
      <c r="G944" s="118"/>
      <c r="H944" s="35"/>
      <c r="I944" s="127"/>
      <c r="J944" s="122"/>
      <c r="K944" s="19"/>
      <c r="L944" s="19"/>
      <c r="M944" s="16"/>
    </row>
    <row r="945" spans="1:13" s="20" customFormat="1" ht="24.75" customHeight="1">
      <c r="A945" s="41"/>
      <c r="B945" s="17"/>
      <c r="C945" s="51"/>
      <c r="D945" s="139"/>
      <c r="E945" s="18"/>
      <c r="F945" s="28"/>
      <c r="G945" s="118"/>
      <c r="H945" s="35"/>
      <c r="I945" s="127"/>
      <c r="J945" s="122"/>
      <c r="K945" s="19"/>
      <c r="L945" s="19"/>
      <c r="M945" s="16"/>
    </row>
    <row r="946" spans="1:13" s="20" customFormat="1" ht="24.75" customHeight="1">
      <c r="A946" s="41"/>
      <c r="B946" s="17"/>
      <c r="C946" s="51"/>
      <c r="D946" s="139"/>
      <c r="E946" s="18"/>
      <c r="F946" s="28"/>
      <c r="G946" s="118"/>
      <c r="H946" s="35"/>
      <c r="I946" s="127"/>
      <c r="J946" s="122"/>
      <c r="K946" s="19"/>
      <c r="L946" s="19"/>
      <c r="M946" s="16"/>
    </row>
    <row r="947" spans="1:13" s="20" customFormat="1" ht="24.75" customHeight="1">
      <c r="A947" s="41"/>
      <c r="B947" s="17"/>
      <c r="C947" s="51"/>
      <c r="D947" s="139"/>
      <c r="E947" s="18"/>
      <c r="F947" s="28"/>
      <c r="G947" s="118"/>
      <c r="H947" s="35"/>
      <c r="I947" s="127"/>
      <c r="J947" s="122"/>
      <c r="K947" s="19"/>
      <c r="L947" s="19"/>
      <c r="M947" s="16"/>
    </row>
    <row r="948" spans="1:13" s="20" customFormat="1" ht="24.75" customHeight="1">
      <c r="A948" s="41"/>
      <c r="B948" s="17"/>
      <c r="C948" s="51"/>
      <c r="D948" s="139"/>
      <c r="E948" s="18"/>
      <c r="F948" s="28"/>
      <c r="G948" s="118"/>
      <c r="H948" s="35"/>
      <c r="I948" s="127"/>
      <c r="J948" s="122"/>
      <c r="K948" s="19"/>
      <c r="L948" s="19"/>
      <c r="M948" s="16"/>
    </row>
    <row r="949" spans="1:13" s="20" customFormat="1" ht="24.75" customHeight="1">
      <c r="A949" s="41"/>
      <c r="B949" s="17"/>
      <c r="C949" s="51"/>
      <c r="D949" s="139"/>
      <c r="E949" s="18"/>
      <c r="F949" s="28"/>
      <c r="G949" s="118"/>
      <c r="H949" s="35"/>
      <c r="I949" s="127"/>
      <c r="J949" s="122"/>
      <c r="K949" s="19"/>
      <c r="L949" s="19"/>
      <c r="M949" s="16"/>
    </row>
    <row r="950" spans="1:13" s="20" customFormat="1" ht="24.75" customHeight="1">
      <c r="A950" s="41"/>
      <c r="B950" s="17"/>
      <c r="C950" s="51"/>
      <c r="D950" s="139"/>
      <c r="E950" s="18"/>
      <c r="F950" s="28"/>
      <c r="G950" s="118"/>
      <c r="H950" s="35"/>
      <c r="I950" s="127"/>
      <c r="J950" s="122"/>
      <c r="K950" s="19"/>
      <c r="L950" s="19"/>
      <c r="M950" s="16"/>
    </row>
    <row r="951" spans="1:13" s="20" customFormat="1" ht="24.75" customHeight="1">
      <c r="A951" s="41"/>
      <c r="B951" s="17"/>
      <c r="C951" s="51"/>
      <c r="D951" s="139"/>
      <c r="E951" s="18"/>
      <c r="F951" s="28"/>
      <c r="G951" s="118"/>
      <c r="H951" s="35"/>
      <c r="I951" s="127"/>
      <c r="J951" s="122"/>
      <c r="K951" s="19"/>
      <c r="L951" s="19"/>
      <c r="M951" s="16"/>
    </row>
    <row r="952" spans="1:13" s="20" customFormat="1" ht="24.75" customHeight="1">
      <c r="A952" s="41"/>
      <c r="B952" s="17"/>
      <c r="C952" s="51"/>
      <c r="D952" s="139"/>
      <c r="E952" s="18"/>
      <c r="F952" s="28"/>
      <c r="G952" s="118"/>
      <c r="H952" s="35"/>
      <c r="I952" s="127"/>
      <c r="J952" s="122"/>
      <c r="K952" s="19"/>
      <c r="L952" s="19"/>
      <c r="M952" s="16"/>
    </row>
    <row r="953" spans="1:13" s="20" customFormat="1" ht="24.75" customHeight="1">
      <c r="A953" s="41"/>
      <c r="B953" s="17"/>
      <c r="C953" s="51"/>
      <c r="D953" s="139"/>
      <c r="E953" s="18"/>
      <c r="F953" s="28"/>
      <c r="G953" s="118"/>
      <c r="H953" s="35"/>
      <c r="I953" s="127"/>
      <c r="J953" s="122"/>
      <c r="K953" s="19"/>
      <c r="L953" s="19"/>
      <c r="M953" s="16"/>
    </row>
    <row r="954" spans="1:13" s="20" customFormat="1" ht="24.75" customHeight="1">
      <c r="A954" s="41"/>
      <c r="B954" s="17"/>
      <c r="C954" s="51"/>
      <c r="D954" s="139"/>
      <c r="E954" s="18"/>
      <c r="F954" s="28"/>
      <c r="G954" s="118"/>
      <c r="H954" s="35"/>
      <c r="I954" s="127"/>
      <c r="J954" s="122"/>
      <c r="K954" s="19"/>
      <c r="L954" s="19"/>
      <c r="M954" s="16"/>
    </row>
    <row r="955" spans="1:13" s="20" customFormat="1" ht="24.75" customHeight="1">
      <c r="A955" s="41"/>
      <c r="B955" s="17"/>
      <c r="C955" s="51"/>
      <c r="D955" s="139"/>
      <c r="E955" s="18"/>
      <c r="F955" s="28"/>
      <c r="G955" s="118"/>
      <c r="H955" s="35"/>
      <c r="I955" s="127"/>
      <c r="J955" s="122"/>
      <c r="K955" s="19"/>
      <c r="L955" s="19"/>
      <c r="M955" s="16"/>
    </row>
    <row r="956" spans="1:13" s="20" customFormat="1" ht="24.75" customHeight="1">
      <c r="A956" s="41"/>
      <c r="B956" s="17"/>
      <c r="C956" s="51"/>
      <c r="D956" s="139"/>
      <c r="E956" s="18"/>
      <c r="F956" s="28"/>
      <c r="G956" s="118"/>
      <c r="H956" s="35"/>
      <c r="I956" s="127"/>
      <c r="J956" s="122"/>
      <c r="K956" s="19"/>
      <c r="L956" s="19"/>
      <c r="M956" s="16"/>
    </row>
    <row r="957" spans="1:13" s="20" customFormat="1" ht="24.75" customHeight="1">
      <c r="A957" s="41"/>
      <c r="B957" s="17"/>
      <c r="C957" s="51"/>
      <c r="D957" s="139"/>
      <c r="E957" s="18"/>
      <c r="F957" s="28"/>
      <c r="G957" s="118"/>
      <c r="H957" s="35"/>
      <c r="I957" s="127"/>
      <c r="J957" s="122"/>
      <c r="K957" s="19"/>
      <c r="L957" s="19"/>
      <c r="M957" s="16"/>
    </row>
    <row r="958" spans="1:13" s="20" customFormat="1" ht="24.75" customHeight="1">
      <c r="A958" s="41"/>
      <c r="B958" s="17"/>
      <c r="C958" s="51"/>
      <c r="D958" s="139"/>
      <c r="E958" s="18"/>
      <c r="F958" s="28"/>
      <c r="G958" s="118"/>
      <c r="H958" s="35"/>
      <c r="I958" s="127"/>
      <c r="J958" s="122"/>
      <c r="K958" s="19"/>
      <c r="L958" s="19"/>
      <c r="M958" s="16"/>
    </row>
    <row r="959" spans="1:13" s="20" customFormat="1" ht="24.75" customHeight="1">
      <c r="A959" s="41"/>
      <c r="B959" s="17"/>
      <c r="C959" s="51"/>
      <c r="D959" s="139"/>
      <c r="E959" s="18"/>
      <c r="F959" s="28"/>
      <c r="G959" s="118"/>
      <c r="H959" s="35"/>
      <c r="I959" s="127"/>
      <c r="J959" s="122"/>
      <c r="K959" s="19"/>
      <c r="L959" s="19"/>
      <c r="M959" s="16"/>
    </row>
    <row r="960" spans="1:13" s="20" customFormat="1" ht="24.75" customHeight="1">
      <c r="A960" s="41"/>
      <c r="B960" s="17"/>
      <c r="C960" s="51"/>
      <c r="D960" s="139"/>
      <c r="E960" s="18"/>
      <c r="F960" s="28"/>
      <c r="G960" s="118"/>
      <c r="H960" s="35"/>
      <c r="I960" s="127"/>
      <c r="J960" s="122"/>
      <c r="K960" s="19"/>
      <c r="L960" s="19"/>
      <c r="M960" s="16"/>
    </row>
    <row r="961" spans="1:13" s="20" customFormat="1" ht="24.75" customHeight="1">
      <c r="A961" s="41"/>
      <c r="B961" s="17"/>
      <c r="C961" s="51"/>
      <c r="D961" s="139"/>
      <c r="E961" s="18"/>
      <c r="F961" s="28"/>
      <c r="G961" s="118"/>
      <c r="H961" s="35"/>
      <c r="I961" s="127"/>
      <c r="J961" s="122"/>
      <c r="K961" s="19"/>
      <c r="L961" s="19"/>
      <c r="M961" s="16"/>
    </row>
    <row r="962" spans="1:13" s="20" customFormat="1" ht="24.75" customHeight="1">
      <c r="A962" s="41"/>
      <c r="B962" s="17"/>
      <c r="C962" s="51"/>
      <c r="D962" s="139"/>
      <c r="E962" s="18"/>
      <c r="F962" s="28"/>
      <c r="G962" s="118"/>
      <c r="H962" s="35"/>
      <c r="I962" s="127"/>
      <c r="J962" s="122"/>
      <c r="K962" s="19"/>
      <c r="L962" s="19"/>
      <c r="M962" s="16"/>
    </row>
    <row r="963" spans="1:13" s="20" customFormat="1" ht="24.75" customHeight="1">
      <c r="A963" s="41"/>
      <c r="B963" s="17"/>
      <c r="C963" s="51"/>
      <c r="D963" s="139"/>
      <c r="E963" s="18"/>
      <c r="F963" s="28"/>
      <c r="G963" s="118"/>
      <c r="H963" s="35"/>
      <c r="I963" s="127"/>
      <c r="J963" s="122"/>
      <c r="K963" s="19"/>
      <c r="L963" s="19"/>
      <c r="M963" s="16"/>
    </row>
    <row r="964" spans="1:13" s="20" customFormat="1" ht="24.75" customHeight="1">
      <c r="A964" s="41"/>
      <c r="B964" s="17"/>
      <c r="C964" s="51"/>
      <c r="D964" s="139"/>
      <c r="E964" s="18"/>
      <c r="F964" s="28"/>
      <c r="G964" s="118"/>
      <c r="H964" s="35"/>
      <c r="I964" s="127"/>
      <c r="J964" s="122"/>
      <c r="K964" s="19"/>
      <c r="L964" s="19"/>
      <c r="M964" s="16"/>
    </row>
    <row r="965" spans="1:13" s="20" customFormat="1" ht="24.75" customHeight="1">
      <c r="A965" s="41"/>
      <c r="B965" s="17"/>
      <c r="C965" s="51"/>
      <c r="D965" s="139"/>
      <c r="E965" s="18"/>
      <c r="F965" s="28"/>
      <c r="G965" s="118"/>
      <c r="H965" s="35"/>
      <c r="I965" s="127"/>
      <c r="J965" s="122"/>
      <c r="K965" s="19"/>
      <c r="L965" s="19"/>
      <c r="M965" s="16"/>
    </row>
    <row r="966" spans="1:13" s="20" customFormat="1" ht="24.75" customHeight="1">
      <c r="A966" s="41"/>
      <c r="B966" s="17"/>
      <c r="C966" s="51"/>
      <c r="D966" s="139"/>
      <c r="E966" s="18"/>
      <c r="F966" s="28"/>
      <c r="G966" s="118"/>
      <c r="H966" s="35"/>
      <c r="I966" s="127"/>
      <c r="J966" s="122"/>
      <c r="K966" s="19"/>
      <c r="L966" s="19"/>
      <c r="M966" s="16"/>
    </row>
    <row r="967" spans="1:13" s="20" customFormat="1" ht="24.75" customHeight="1">
      <c r="A967" s="41"/>
      <c r="B967" s="17"/>
      <c r="C967" s="51"/>
      <c r="D967" s="139"/>
      <c r="E967" s="18"/>
      <c r="F967" s="28"/>
      <c r="G967" s="118"/>
      <c r="H967" s="35"/>
      <c r="I967" s="127"/>
      <c r="J967" s="122"/>
      <c r="K967" s="19"/>
      <c r="L967" s="19"/>
      <c r="M967" s="16"/>
    </row>
    <row r="968" spans="1:13" s="20" customFormat="1" ht="24.75" customHeight="1">
      <c r="A968" s="41"/>
      <c r="B968" s="17"/>
      <c r="C968" s="51"/>
      <c r="D968" s="139"/>
      <c r="E968" s="18"/>
      <c r="F968" s="28"/>
      <c r="G968" s="118"/>
      <c r="H968" s="35"/>
      <c r="I968" s="127"/>
      <c r="J968" s="122"/>
      <c r="K968" s="19"/>
      <c r="L968" s="19"/>
      <c r="M968" s="16"/>
    </row>
    <row r="969" spans="1:13" s="20" customFormat="1" ht="24.75" customHeight="1">
      <c r="A969" s="41"/>
      <c r="B969" s="17"/>
      <c r="C969" s="51"/>
      <c r="D969" s="139"/>
      <c r="E969" s="18"/>
      <c r="F969" s="28"/>
      <c r="G969" s="118"/>
      <c r="H969" s="35"/>
      <c r="I969" s="127"/>
      <c r="J969" s="122"/>
      <c r="K969" s="19"/>
      <c r="L969" s="19"/>
      <c r="M969" s="16"/>
    </row>
    <row r="970" spans="1:13" s="20" customFormat="1" ht="24.75" customHeight="1">
      <c r="A970" s="41"/>
      <c r="B970" s="17"/>
      <c r="C970" s="51"/>
      <c r="D970" s="139"/>
      <c r="E970" s="18"/>
      <c r="F970" s="28"/>
      <c r="G970" s="118"/>
      <c r="H970" s="35"/>
      <c r="I970" s="127"/>
      <c r="J970" s="122"/>
      <c r="K970" s="19"/>
      <c r="L970" s="19"/>
      <c r="M970" s="16"/>
    </row>
    <row r="971" spans="1:13" s="20" customFormat="1" ht="24.75" customHeight="1">
      <c r="A971" s="41"/>
      <c r="B971" s="17"/>
      <c r="C971" s="51"/>
      <c r="D971" s="139"/>
      <c r="E971" s="18"/>
      <c r="F971" s="28"/>
      <c r="G971" s="118"/>
      <c r="H971" s="35"/>
      <c r="I971" s="127"/>
      <c r="J971" s="122"/>
      <c r="K971" s="19"/>
      <c r="L971" s="19"/>
      <c r="M971" s="16"/>
    </row>
    <row r="972" spans="1:13" s="20" customFormat="1" ht="24.75" customHeight="1">
      <c r="A972" s="41"/>
      <c r="B972" s="17"/>
      <c r="C972" s="51"/>
      <c r="D972" s="139"/>
      <c r="E972" s="18"/>
      <c r="F972" s="28"/>
      <c r="G972" s="118"/>
      <c r="H972" s="35"/>
      <c r="I972" s="127"/>
      <c r="J972" s="122"/>
      <c r="K972" s="19"/>
      <c r="L972" s="19"/>
      <c r="M972" s="16"/>
    </row>
    <row r="973" spans="1:13" s="20" customFormat="1" ht="24.75" customHeight="1">
      <c r="A973" s="41"/>
      <c r="B973" s="17"/>
      <c r="C973" s="51"/>
      <c r="D973" s="139"/>
      <c r="E973" s="18"/>
      <c r="F973" s="28"/>
      <c r="G973" s="118"/>
      <c r="H973" s="35"/>
      <c r="I973" s="127"/>
      <c r="J973" s="122"/>
      <c r="K973" s="19"/>
      <c r="L973" s="19"/>
      <c r="M973" s="16"/>
    </row>
    <row r="974" spans="1:13" s="20" customFormat="1" ht="24.75" customHeight="1">
      <c r="A974" s="41"/>
      <c r="B974" s="17"/>
      <c r="C974" s="51"/>
      <c r="D974" s="139"/>
      <c r="E974" s="18"/>
      <c r="F974" s="28"/>
      <c r="G974" s="118"/>
      <c r="H974" s="35"/>
      <c r="I974" s="127"/>
      <c r="J974" s="122"/>
      <c r="K974" s="19"/>
      <c r="L974" s="19"/>
      <c r="M974" s="16"/>
    </row>
    <row r="975" spans="1:13" s="20" customFormat="1" ht="24.75" customHeight="1">
      <c r="A975" s="41"/>
      <c r="B975" s="17"/>
      <c r="C975" s="51"/>
      <c r="D975" s="139"/>
      <c r="E975" s="18"/>
      <c r="F975" s="28"/>
      <c r="G975" s="118"/>
      <c r="H975" s="35"/>
      <c r="I975" s="127"/>
      <c r="J975" s="122"/>
      <c r="K975" s="19"/>
      <c r="L975" s="19"/>
      <c r="M975" s="16"/>
    </row>
    <row r="976" spans="1:13" s="20" customFormat="1" ht="24.75" customHeight="1">
      <c r="A976" s="41"/>
      <c r="B976" s="17"/>
      <c r="C976" s="51"/>
      <c r="D976" s="139"/>
      <c r="E976" s="18"/>
      <c r="F976" s="28"/>
      <c r="G976" s="118"/>
      <c r="H976" s="35"/>
      <c r="I976" s="127"/>
      <c r="J976" s="122"/>
      <c r="K976" s="19"/>
      <c r="L976" s="19"/>
      <c r="M976" s="16"/>
    </row>
    <row r="977" spans="1:13" s="20" customFormat="1" ht="24.75" customHeight="1">
      <c r="A977" s="41"/>
      <c r="B977" s="17"/>
      <c r="C977" s="51"/>
      <c r="D977" s="139"/>
      <c r="E977" s="18"/>
      <c r="F977" s="28"/>
      <c r="G977" s="118"/>
      <c r="H977" s="35"/>
      <c r="I977" s="127"/>
      <c r="J977" s="122"/>
      <c r="K977" s="19"/>
      <c r="L977" s="19"/>
      <c r="M977" s="16"/>
    </row>
    <row r="978" spans="1:13" s="20" customFormat="1" ht="24.75" customHeight="1">
      <c r="A978" s="41"/>
      <c r="B978" s="17"/>
      <c r="C978" s="51"/>
      <c r="D978" s="139"/>
      <c r="E978" s="18"/>
      <c r="F978" s="28"/>
      <c r="G978" s="118"/>
      <c r="H978" s="35"/>
      <c r="I978" s="127"/>
      <c r="J978" s="122"/>
      <c r="K978" s="19"/>
      <c r="L978" s="19"/>
      <c r="M978" s="16"/>
    </row>
    <row r="979" spans="1:13" s="20" customFormat="1" ht="24.75" customHeight="1">
      <c r="A979" s="41"/>
      <c r="B979" s="17"/>
      <c r="C979" s="51"/>
      <c r="D979" s="139"/>
      <c r="E979" s="18"/>
      <c r="F979" s="28"/>
      <c r="G979" s="118"/>
      <c r="H979" s="35"/>
      <c r="I979" s="127"/>
      <c r="J979" s="122"/>
      <c r="K979" s="19"/>
      <c r="L979" s="19"/>
      <c r="M979" s="16"/>
    </row>
    <row r="980" spans="1:13" s="20" customFormat="1" ht="24.75" customHeight="1">
      <c r="A980" s="41"/>
      <c r="B980" s="17"/>
      <c r="C980" s="51"/>
      <c r="D980" s="139"/>
      <c r="E980" s="18"/>
      <c r="F980" s="28"/>
      <c r="G980" s="118"/>
      <c r="H980" s="35"/>
      <c r="I980" s="127"/>
      <c r="J980" s="122"/>
      <c r="K980" s="19"/>
      <c r="L980" s="19"/>
      <c r="M980" s="16"/>
    </row>
    <row r="981" spans="1:13" s="20" customFormat="1" ht="24.75" customHeight="1">
      <c r="A981" s="41"/>
      <c r="B981" s="17"/>
      <c r="C981" s="51"/>
      <c r="D981" s="139"/>
      <c r="E981" s="18"/>
      <c r="F981" s="28"/>
      <c r="G981" s="118"/>
      <c r="H981" s="35"/>
      <c r="I981" s="127"/>
      <c r="J981" s="122"/>
      <c r="K981" s="19"/>
      <c r="L981" s="19"/>
      <c r="M981" s="16"/>
    </row>
    <row r="982" spans="1:13" s="20" customFormat="1" ht="24.75" customHeight="1">
      <c r="A982" s="41"/>
      <c r="B982" s="17"/>
      <c r="C982" s="51"/>
      <c r="D982" s="139"/>
      <c r="E982" s="18"/>
      <c r="F982" s="28"/>
      <c r="G982" s="118"/>
      <c r="H982" s="35"/>
      <c r="I982" s="127"/>
      <c r="J982" s="122"/>
      <c r="K982" s="19"/>
      <c r="L982" s="19"/>
      <c r="M982" s="16"/>
    </row>
    <row r="983" spans="1:13" s="20" customFormat="1" ht="24.75" customHeight="1">
      <c r="A983" s="41"/>
      <c r="B983" s="17"/>
      <c r="C983" s="51"/>
      <c r="D983" s="139"/>
      <c r="E983" s="18"/>
      <c r="F983" s="28"/>
      <c r="G983" s="118"/>
      <c r="H983" s="35"/>
      <c r="I983" s="127"/>
      <c r="J983" s="122"/>
      <c r="K983" s="19"/>
      <c r="L983" s="19"/>
      <c r="M983" s="16"/>
    </row>
    <row r="984" spans="1:13" s="20" customFormat="1" ht="24.75" customHeight="1">
      <c r="A984" s="41"/>
      <c r="B984" s="17"/>
      <c r="C984" s="51"/>
      <c r="D984" s="139"/>
      <c r="E984" s="18"/>
      <c r="F984" s="28"/>
      <c r="G984" s="118"/>
      <c r="H984" s="35"/>
      <c r="I984" s="127"/>
      <c r="J984" s="122"/>
      <c r="K984" s="19"/>
      <c r="L984" s="19"/>
      <c r="M984" s="16"/>
    </row>
    <row r="985" spans="1:13" s="20" customFormat="1" ht="24.75" customHeight="1">
      <c r="A985" s="41"/>
      <c r="B985" s="17"/>
      <c r="C985" s="51"/>
      <c r="D985" s="139"/>
      <c r="E985" s="18"/>
      <c r="F985" s="28"/>
      <c r="G985" s="118"/>
      <c r="H985" s="35"/>
      <c r="I985" s="127"/>
      <c r="J985" s="122"/>
      <c r="K985" s="19"/>
      <c r="L985" s="19"/>
      <c r="M985" s="16"/>
    </row>
    <row r="986" spans="1:13" s="20" customFormat="1" ht="24.75" customHeight="1">
      <c r="A986" s="41"/>
      <c r="B986" s="17"/>
      <c r="C986" s="51"/>
      <c r="D986" s="139"/>
      <c r="E986" s="18"/>
      <c r="F986" s="28"/>
      <c r="G986" s="118"/>
      <c r="H986" s="35"/>
      <c r="I986" s="127"/>
      <c r="J986" s="122"/>
      <c r="K986" s="19"/>
      <c r="L986" s="19"/>
      <c r="M986" s="16"/>
    </row>
    <row r="987" spans="1:13" s="20" customFormat="1" ht="24.75" customHeight="1">
      <c r="A987" s="41"/>
      <c r="B987" s="17"/>
      <c r="C987" s="51"/>
      <c r="D987" s="139"/>
      <c r="E987" s="18"/>
      <c r="F987" s="28"/>
      <c r="G987" s="118"/>
      <c r="H987" s="35"/>
      <c r="I987" s="127"/>
      <c r="J987" s="122"/>
      <c r="K987" s="19"/>
      <c r="L987" s="19"/>
      <c r="M987" s="16"/>
    </row>
    <row r="988" spans="1:13" s="20" customFormat="1" ht="24.75" customHeight="1">
      <c r="A988" s="41"/>
      <c r="B988" s="17"/>
      <c r="C988" s="51"/>
      <c r="D988" s="139"/>
      <c r="E988" s="18"/>
      <c r="F988" s="28"/>
      <c r="G988" s="118"/>
      <c r="H988" s="35"/>
      <c r="I988" s="127"/>
      <c r="J988" s="122"/>
      <c r="K988" s="19"/>
      <c r="L988" s="19"/>
      <c r="M988" s="16"/>
    </row>
    <row r="989" spans="1:13" s="20" customFormat="1" ht="24.75" customHeight="1">
      <c r="A989" s="41"/>
      <c r="B989" s="17"/>
      <c r="C989" s="51"/>
      <c r="D989" s="139"/>
      <c r="E989" s="18"/>
      <c r="F989" s="28"/>
      <c r="G989" s="118"/>
      <c r="H989" s="35"/>
      <c r="I989" s="127"/>
      <c r="J989" s="122"/>
      <c r="K989" s="19"/>
      <c r="L989" s="19"/>
      <c r="M989" s="16"/>
    </row>
    <row r="990" spans="1:13" s="20" customFormat="1" ht="24.75" customHeight="1">
      <c r="A990" s="41"/>
      <c r="B990" s="17"/>
      <c r="C990" s="51"/>
      <c r="D990" s="139"/>
      <c r="E990" s="18"/>
      <c r="F990" s="28"/>
      <c r="G990" s="118"/>
      <c r="H990" s="35"/>
      <c r="I990" s="127"/>
      <c r="J990" s="122"/>
      <c r="K990" s="19"/>
      <c r="L990" s="19"/>
      <c r="M990" s="16"/>
    </row>
    <row r="991" spans="1:13" s="20" customFormat="1" ht="24.75" customHeight="1">
      <c r="A991" s="41"/>
      <c r="B991" s="17"/>
      <c r="C991" s="51"/>
      <c r="D991" s="139"/>
      <c r="E991" s="18"/>
      <c r="F991" s="28"/>
      <c r="G991" s="118"/>
      <c r="H991" s="35"/>
      <c r="I991" s="127"/>
      <c r="J991" s="122"/>
      <c r="K991" s="19"/>
      <c r="L991" s="19"/>
      <c r="M991" s="16"/>
    </row>
    <row r="992" spans="1:13" s="20" customFormat="1" ht="24.75" customHeight="1">
      <c r="A992" s="41"/>
      <c r="B992" s="17"/>
      <c r="C992" s="51"/>
      <c r="D992" s="139"/>
      <c r="E992" s="18"/>
      <c r="F992" s="28"/>
      <c r="G992" s="118"/>
      <c r="H992" s="35"/>
      <c r="I992" s="127"/>
      <c r="J992" s="122"/>
      <c r="K992" s="19"/>
      <c r="L992" s="19"/>
      <c r="M992" s="16"/>
    </row>
    <row r="993" spans="1:13" s="20" customFormat="1" ht="24.75" customHeight="1">
      <c r="A993" s="41"/>
      <c r="B993" s="17"/>
      <c r="C993" s="51"/>
      <c r="D993" s="139"/>
      <c r="E993" s="18"/>
      <c r="F993" s="28"/>
      <c r="G993" s="118"/>
      <c r="H993" s="35"/>
      <c r="I993" s="127"/>
      <c r="J993" s="122"/>
      <c r="K993" s="19"/>
      <c r="L993" s="19"/>
      <c r="M993" s="16"/>
    </row>
    <row r="994" spans="1:13" s="20" customFormat="1" ht="24.75" customHeight="1">
      <c r="A994" s="41"/>
      <c r="B994" s="17"/>
      <c r="C994" s="51"/>
      <c r="D994" s="139"/>
      <c r="E994" s="18"/>
      <c r="F994" s="28"/>
      <c r="G994" s="118"/>
      <c r="H994" s="35"/>
      <c r="I994" s="127"/>
      <c r="J994" s="122"/>
      <c r="K994" s="19"/>
      <c r="L994" s="19"/>
      <c r="M994" s="16"/>
    </row>
    <row r="995" spans="1:13" s="20" customFormat="1" ht="24.75" customHeight="1">
      <c r="A995" s="41"/>
      <c r="B995" s="17"/>
      <c r="C995" s="51"/>
      <c r="D995" s="139"/>
      <c r="E995" s="18"/>
      <c r="F995" s="28"/>
      <c r="G995" s="118"/>
      <c r="H995" s="35"/>
      <c r="I995" s="127"/>
      <c r="J995" s="122"/>
      <c r="K995" s="19"/>
      <c r="L995" s="19"/>
      <c r="M995" s="16"/>
    </row>
    <row r="996" spans="1:13" s="20" customFormat="1" ht="24.75" customHeight="1">
      <c r="A996" s="41"/>
      <c r="B996" s="17"/>
      <c r="C996" s="51"/>
      <c r="D996" s="139"/>
      <c r="E996" s="18"/>
      <c r="F996" s="28"/>
      <c r="G996" s="118"/>
      <c r="H996" s="35"/>
      <c r="I996" s="127"/>
      <c r="J996" s="122"/>
      <c r="K996" s="19"/>
      <c r="L996" s="19"/>
      <c r="M996" s="16"/>
    </row>
    <row r="997" spans="1:13" s="20" customFormat="1" ht="24.75" customHeight="1">
      <c r="A997" s="41"/>
      <c r="B997" s="17"/>
      <c r="C997" s="51"/>
      <c r="D997" s="139"/>
      <c r="E997" s="18"/>
      <c r="F997" s="28"/>
      <c r="G997" s="118"/>
      <c r="H997" s="35"/>
      <c r="I997" s="127"/>
      <c r="J997" s="122"/>
      <c r="K997" s="19"/>
      <c r="L997" s="19"/>
      <c r="M997" s="16"/>
    </row>
    <row r="998" spans="1:13" s="20" customFormat="1" ht="24.75" customHeight="1">
      <c r="A998" s="41"/>
      <c r="B998" s="17"/>
      <c r="C998" s="51"/>
      <c r="D998" s="139"/>
      <c r="E998" s="18"/>
      <c r="F998" s="28"/>
      <c r="G998" s="118"/>
      <c r="H998" s="35"/>
      <c r="I998" s="127"/>
      <c r="J998" s="122"/>
      <c r="K998" s="19"/>
      <c r="L998" s="19"/>
      <c r="M998" s="16"/>
    </row>
    <row r="999" spans="1:13" s="20" customFormat="1" ht="24.75" customHeight="1">
      <c r="A999" s="41"/>
      <c r="B999" s="17"/>
      <c r="C999" s="51"/>
      <c r="D999" s="139"/>
      <c r="E999" s="18"/>
      <c r="F999" s="28"/>
      <c r="G999" s="118"/>
      <c r="H999" s="35"/>
      <c r="I999" s="127"/>
      <c r="J999" s="122"/>
      <c r="K999" s="19"/>
      <c r="L999" s="19"/>
      <c r="M999" s="16"/>
    </row>
    <row r="1000" spans="1:13" s="20" customFormat="1" ht="24.75" customHeight="1">
      <c r="A1000" s="41"/>
      <c r="B1000" s="17"/>
      <c r="C1000" s="51"/>
      <c r="D1000" s="139"/>
      <c r="E1000" s="18"/>
      <c r="F1000" s="28"/>
      <c r="G1000" s="118"/>
      <c r="H1000" s="35"/>
      <c r="I1000" s="127"/>
      <c r="J1000" s="122"/>
      <c r="K1000" s="19"/>
      <c r="L1000" s="19"/>
      <c r="M1000" s="16"/>
    </row>
    <row r="1001" spans="1:13" s="20" customFormat="1" ht="24.75" customHeight="1">
      <c r="A1001" s="41"/>
      <c r="B1001" s="17"/>
      <c r="C1001" s="51"/>
      <c r="D1001" s="139"/>
      <c r="E1001" s="18"/>
      <c r="F1001" s="28"/>
      <c r="G1001" s="118"/>
      <c r="H1001" s="35"/>
      <c r="I1001" s="127"/>
      <c r="J1001" s="122"/>
      <c r="K1001" s="19"/>
      <c r="L1001" s="19"/>
      <c r="M1001" s="16"/>
    </row>
    <row r="1002" spans="1:13" s="20" customFormat="1" ht="24.75" customHeight="1">
      <c r="A1002" s="41"/>
      <c r="B1002" s="17"/>
      <c r="C1002" s="51"/>
      <c r="D1002" s="139"/>
      <c r="E1002" s="18"/>
      <c r="F1002" s="28"/>
      <c r="G1002" s="118"/>
      <c r="H1002" s="35"/>
      <c r="I1002" s="127"/>
      <c r="J1002" s="122"/>
      <c r="K1002" s="19"/>
      <c r="L1002" s="19"/>
      <c r="M1002" s="16"/>
    </row>
    <row r="1003" spans="1:13" s="20" customFormat="1" ht="24.75" customHeight="1">
      <c r="A1003" s="41"/>
      <c r="B1003" s="17"/>
      <c r="C1003" s="51"/>
      <c r="D1003" s="139"/>
      <c r="E1003" s="18"/>
      <c r="F1003" s="28"/>
      <c r="G1003" s="118"/>
      <c r="H1003" s="35"/>
      <c r="I1003" s="127"/>
      <c r="J1003" s="122"/>
      <c r="K1003" s="19"/>
      <c r="L1003" s="19"/>
      <c r="M1003" s="16"/>
    </row>
    <row r="1004" spans="1:13" s="20" customFormat="1" ht="24.75" customHeight="1">
      <c r="A1004" s="41"/>
      <c r="B1004" s="17"/>
      <c r="C1004" s="51"/>
      <c r="D1004" s="139"/>
      <c r="E1004" s="18"/>
      <c r="F1004" s="28"/>
      <c r="G1004" s="118"/>
      <c r="H1004" s="35"/>
      <c r="I1004" s="127"/>
      <c r="J1004" s="122"/>
      <c r="K1004" s="19"/>
      <c r="L1004" s="19"/>
      <c r="M1004" s="16"/>
    </row>
    <row r="1005" spans="1:13" s="20" customFormat="1" ht="24.75" customHeight="1">
      <c r="A1005" s="41"/>
      <c r="B1005" s="17"/>
      <c r="C1005" s="51"/>
      <c r="D1005" s="139"/>
      <c r="E1005" s="18"/>
      <c r="F1005" s="28"/>
      <c r="G1005" s="118"/>
      <c r="H1005" s="35"/>
      <c r="I1005" s="127"/>
      <c r="J1005" s="122"/>
      <c r="K1005" s="19"/>
      <c r="L1005" s="19"/>
      <c r="M1005" s="16"/>
    </row>
    <row r="1006" spans="1:13" s="20" customFormat="1" ht="24.75" customHeight="1">
      <c r="A1006" s="41"/>
      <c r="B1006" s="17"/>
      <c r="C1006" s="51"/>
      <c r="D1006" s="139"/>
      <c r="E1006" s="18"/>
      <c r="F1006" s="28"/>
      <c r="G1006" s="118"/>
      <c r="H1006" s="35"/>
      <c r="I1006" s="127"/>
      <c r="J1006" s="122"/>
      <c r="K1006" s="19"/>
      <c r="L1006" s="19"/>
      <c r="M1006" s="16"/>
    </row>
    <row r="1007" spans="1:13" s="3" customFormat="1" ht="24.75" customHeight="1">
      <c r="A1007" s="42"/>
      <c r="B1007" s="46"/>
      <c r="C1007" s="52"/>
      <c r="D1007" s="15"/>
      <c r="E1007" s="15"/>
      <c r="F1007" s="29"/>
      <c r="G1007" s="29"/>
      <c r="H1007" s="36"/>
      <c r="I1007" s="128"/>
      <c r="J1007" s="123"/>
      <c r="K1007" s="5"/>
      <c r="L1007" s="6"/>
      <c r="M1007" s="12"/>
    </row>
  </sheetData>
  <sheetProtection/>
  <autoFilter ref="A101:M193"/>
  <dataValidations count="2">
    <dataValidation type="list" allowBlank="1" showInputMessage="1" showErrorMessage="1" sqref="M107 M112:M116 M102:M105 M119:M1006">
      <formula1>$M$1:$M$27</formula1>
    </dataValidation>
    <dataValidation type="list" allowBlank="1" showInputMessage="1" showErrorMessage="1" sqref="F112:F115 G112:G1006 F117:F1006 F102:G105">
      <formula1>$F$1:$F$89</formula1>
    </dataValidation>
  </dataValidations>
  <printOptions horizontalCentered="1"/>
  <pageMargins left="0.1968503937007874" right="0.2362204724409449" top="0.2755905511811024" bottom="0.31496062992125984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R416"/>
  <sheetViews>
    <sheetView showGridLines="0" zoomScale="80" zoomScaleNormal="80" zoomScalePageLayoutView="0" workbookViewId="0" topLeftCell="A163">
      <selection activeCell="M3" sqref="M3:N3"/>
    </sheetView>
  </sheetViews>
  <sheetFormatPr defaultColWidth="9.00390625" defaultRowHeight="12.75"/>
  <cols>
    <col min="1" max="1" width="1.00390625" style="53" customWidth="1"/>
    <col min="2" max="2" width="2.75390625" style="53" customWidth="1"/>
    <col min="3" max="3" width="9.125" style="53" customWidth="1"/>
    <col min="4" max="4" width="9.75390625" style="53" customWidth="1"/>
    <col min="5" max="5" width="13.875" style="53" customWidth="1"/>
    <col min="6" max="6" width="7.25390625" style="53" customWidth="1"/>
    <col min="7" max="7" width="5.75390625" style="53" customWidth="1"/>
    <col min="8" max="8" width="7.375" style="53" customWidth="1"/>
    <col min="9" max="9" width="3.00390625" style="53" customWidth="1"/>
    <col min="10" max="11" width="5.375" style="53" customWidth="1"/>
    <col min="12" max="12" width="9.125" style="53" customWidth="1"/>
    <col min="13" max="13" width="8.25390625" style="53" customWidth="1"/>
    <col min="14" max="14" width="10.00390625" style="53" customWidth="1"/>
    <col min="15" max="15" width="1.12109375" style="53" customWidth="1"/>
    <col min="16" max="16" width="1.625" style="53" customWidth="1"/>
    <col min="17" max="17" width="1.00390625" style="53" customWidth="1"/>
    <col min="18" max="148" width="9.125" style="55" customWidth="1"/>
    <col min="149" max="16384" width="9.125" style="53" customWidth="1"/>
  </cols>
  <sheetData>
    <row r="1" ht="27" customHeight="1">
      <c r="C1" s="54" t="s">
        <v>120</v>
      </c>
    </row>
    <row r="2" ht="6.75" customHeight="1"/>
    <row r="3" spans="3:14" ht="24" customHeight="1">
      <c r="C3" s="56" t="s">
        <v>146</v>
      </c>
      <c r="M3" s="242">
        <v>101</v>
      </c>
      <c r="N3" s="243"/>
    </row>
    <row r="4" ht="6" customHeight="1"/>
    <row r="5" spans="3:15" ht="15" customHeight="1">
      <c r="C5" s="57" t="s">
        <v>121</v>
      </c>
      <c r="N5" s="58"/>
      <c r="O5" s="59"/>
    </row>
    <row r="6" ht="12.75">
      <c r="C6" s="60" t="s">
        <v>147</v>
      </c>
    </row>
    <row r="7" spans="2:16" ht="3.75" customHeight="1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2:16" ht="27.75" customHeight="1">
      <c r="B8" s="64"/>
      <c r="C8" s="65"/>
      <c r="D8" s="65"/>
      <c r="E8" s="65"/>
      <c r="F8" s="65"/>
      <c r="G8" s="66"/>
      <c r="H8" s="65"/>
      <c r="I8" s="65"/>
      <c r="J8" s="65"/>
      <c r="K8" s="65"/>
      <c r="L8" s="65"/>
      <c r="M8" s="134" t="s">
        <v>122</v>
      </c>
      <c r="N8" s="240"/>
      <c r="O8" s="241"/>
      <c r="P8" s="67"/>
    </row>
    <row r="9" spans="2:148" s="68" customFormat="1" ht="34.5" customHeight="1">
      <c r="B9" s="69"/>
      <c r="C9" s="232">
        <f>IF(M3="","",IF(INDEX(участники!$A$102:$M$963,$M$3-100,13)="","",INDEX(участники!$A$102:$M$963,$M$3-100,13)))</f>
        <v>1500</v>
      </c>
      <c r="D9" s="233"/>
      <c r="E9" s="70"/>
      <c r="F9" s="234"/>
      <c r="G9" s="235"/>
      <c r="H9" s="65"/>
      <c r="I9" s="71"/>
      <c r="J9" s="236">
        <f>IF(M3="","",IF(INDEX(участники!$A$102:$M$963,$M$3-100,1)="","",INDEX(участники!$A$102:$M$963,$M$3-100,1)))</f>
        <v>301</v>
      </c>
      <c r="K9" s="237"/>
      <c r="L9" s="71"/>
      <c r="M9" s="134" t="s">
        <v>123</v>
      </c>
      <c r="N9" s="135" t="str">
        <f>IF(M3="","",CONCATENATE(IF(INDEX(участники!$A$102:$M$963,$M$3-100,3)="","",INDEX(участники!$A$102:$M$963,$M$3-100,3)),"  ",IF(INDEX(участники!$A$102:$M$963,$M$3-100,3)="","",INDEX(участники!$A$104:$M$963,$M$3-100,3))))</f>
        <v>  </v>
      </c>
      <c r="O9" s="72"/>
      <c r="P9" s="73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</row>
    <row r="10" spans="2:148" s="75" customFormat="1" ht="15.75" customHeight="1">
      <c r="B10" s="76"/>
      <c r="C10" s="224" t="s">
        <v>124</v>
      </c>
      <c r="D10" s="224"/>
      <c r="E10" s="77"/>
      <c r="F10" s="225" t="s">
        <v>125</v>
      </c>
      <c r="G10" s="225"/>
      <c r="H10" s="78"/>
      <c r="I10" s="77"/>
      <c r="J10" s="224" t="s">
        <v>126</v>
      </c>
      <c r="K10" s="224"/>
      <c r="L10" s="79"/>
      <c r="M10" s="79"/>
      <c r="N10" s="79"/>
      <c r="O10" s="79"/>
      <c r="P10" s="80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</row>
    <row r="11" spans="2:16" ht="40.5" customHeight="1">
      <c r="B11" s="64"/>
      <c r="C11" s="226" t="str">
        <f>IF(M3="","",IF(INDEX(участники!$A$102:$M$962,$M$3-100,2)="","",INDEX(участники!$A$102:$M$962,$M$3-100,2)))</f>
        <v>Платонова Настя </v>
      </c>
      <c r="D11" s="226"/>
      <c r="E11" s="226"/>
      <c r="F11" s="226"/>
      <c r="G11" s="226"/>
      <c r="H11" s="226"/>
      <c r="I11" s="82"/>
      <c r="J11" s="227" t="str">
        <f>IF(M3="","",IF(INDEX(участники!$A$102:$M$962,$M$3-100,4)="","",INDEX(участники!$A$102:$M$962,$M$3-100,4)))</f>
        <v>2003</v>
      </c>
      <c r="K11" s="227"/>
      <c r="L11" s="83"/>
      <c r="M11" s="131">
        <f>IF(M3="","",IF(INDEX(участники!$A$102:$M$962,$M$3-100,5)="","",INDEX(участники!$A$102:$M$962,$M$3-100,5)))</f>
        <v>1</v>
      </c>
      <c r="N11" s="65"/>
      <c r="O11" s="65"/>
      <c r="P11" s="67"/>
    </row>
    <row r="12" spans="2:148" s="84" customFormat="1" ht="12.75" customHeight="1">
      <c r="B12" s="85"/>
      <c r="C12" s="86" t="s">
        <v>127</v>
      </c>
      <c r="D12" s="86"/>
      <c r="E12" s="86"/>
      <c r="F12" s="86"/>
      <c r="G12" s="86"/>
      <c r="H12" s="86"/>
      <c r="I12" s="86"/>
      <c r="J12" s="228" t="s">
        <v>128</v>
      </c>
      <c r="K12" s="228"/>
      <c r="L12" s="86"/>
      <c r="M12" s="88" t="s">
        <v>129</v>
      </c>
      <c r="N12" s="86"/>
      <c r="O12" s="86"/>
      <c r="P12" s="89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</row>
    <row r="13" spans="2:148" s="91" customFormat="1" ht="35.25" customHeight="1">
      <c r="B13" s="92"/>
      <c r="C13" s="229">
        <f>IF(M3="","",IF(INDEX(участники!$A$102:$M$962,$M$3-100,6)="","",INDEX(участники!$A$102:$M$962,$M$3-100,6)))</f>
      </c>
      <c r="D13" s="220"/>
      <c r="E13" s="220"/>
      <c r="F13" s="220"/>
      <c r="G13" s="93"/>
      <c r="H13" s="216">
        <f>IF(M3="","",IF(INDEX(участники!$A$102:$M$962,$M$3-100,8)="","",INDEX(участники!$A$102:$M$962,$M$3-100,8)))</f>
      </c>
      <c r="I13" s="216"/>
      <c r="J13" s="216"/>
      <c r="K13" s="94"/>
      <c r="L13" s="221"/>
      <c r="M13" s="221"/>
      <c r="N13" s="221"/>
      <c r="O13" s="94"/>
      <c r="P13" s="95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</row>
    <row r="14" spans="2:148" s="84" customFormat="1" ht="11.25" customHeight="1">
      <c r="B14" s="85"/>
      <c r="C14" s="86" t="s">
        <v>130</v>
      </c>
      <c r="D14" s="86"/>
      <c r="E14" s="86"/>
      <c r="F14" s="86"/>
      <c r="G14" s="97"/>
      <c r="H14" s="217" t="s">
        <v>131</v>
      </c>
      <c r="I14" s="217"/>
      <c r="J14" s="217"/>
      <c r="K14" s="86"/>
      <c r="L14" s="218"/>
      <c r="M14" s="218"/>
      <c r="N14" s="218"/>
      <c r="O14" s="86"/>
      <c r="P14" s="89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</row>
    <row r="15" spans="2:148" s="91" customFormat="1" ht="24" customHeight="1">
      <c r="B15" s="92"/>
      <c r="C15" s="219">
        <f>IF(M3="","",IF(INDEX(участники!$A$102:$M$962,$M$3-100,7)="","",INDEX(участники!$A$102:$M$962,$M$3-100,7)))</f>
      </c>
      <c r="D15" s="220"/>
      <c r="E15" s="220"/>
      <c r="F15" s="220"/>
      <c r="G15" s="93"/>
      <c r="H15" s="216" t="str">
        <f>IF(M3="","",IF(INDEX(участники!$A$102:$M$962,$M$3-100,9)="","",INDEX(участники!$A$102:$M$962,$M$3-100,9)))</f>
        <v>Старая Каменка </v>
      </c>
      <c r="I15" s="216"/>
      <c r="J15" s="216"/>
      <c r="K15" s="216"/>
      <c r="L15" s="216"/>
      <c r="M15" s="216"/>
      <c r="N15" s="216"/>
      <c r="O15" s="94"/>
      <c r="P15" s="95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</row>
    <row r="16" spans="2:148" s="84" customFormat="1" ht="9.75" customHeight="1">
      <c r="B16" s="85"/>
      <c r="C16" s="86" t="s">
        <v>132</v>
      </c>
      <c r="D16" s="86"/>
      <c r="E16" s="86"/>
      <c r="F16" s="86"/>
      <c r="G16" s="86"/>
      <c r="H16" s="217" t="s">
        <v>133</v>
      </c>
      <c r="I16" s="217"/>
      <c r="J16" s="217"/>
      <c r="K16" s="217"/>
      <c r="L16" s="217"/>
      <c r="M16" s="217"/>
      <c r="N16" s="86"/>
      <c r="O16" s="86"/>
      <c r="P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</row>
    <row r="17" spans="2:148" s="84" customFormat="1" ht="9.7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</row>
    <row r="18" spans="2:16" ht="26.25" customHeight="1">
      <c r="B18" s="64"/>
      <c r="C18" s="214" t="str">
        <f>IF(M3="","",IF(INDEX(участники!$A$102:$M$962,$M$3-100,10)="","",INDEX(участники!$A$102:$M$962,$M$3-100,10)))</f>
        <v>Андреев В.В. Кузнецов В.Б.</v>
      </c>
      <c r="D18" s="215"/>
      <c r="E18" s="215"/>
      <c r="F18" s="215"/>
      <c r="G18" s="215"/>
      <c r="H18" s="215"/>
      <c r="I18" s="215"/>
      <c r="J18" s="215"/>
      <c r="K18" s="65"/>
      <c r="L18" s="132" t="str">
        <f>IF(M3="","",IF(INDEX(участники!$A$102:$M$962,$M$3-100,11)="","",INDEX(участники!$A$102:$M$962,$M$3-100,11)))</f>
        <v>4.59</v>
      </c>
      <c r="M18" s="98"/>
      <c r="N18" s="132" t="str">
        <f>IF(M3="","",IF(INDEX(участники!$A$102:$M$962,$M$3-100,12)="","",INDEX(участники!$A$102:$M$962,$M$3-100,12)))</f>
        <v>5.03</v>
      </c>
      <c r="O18" s="65"/>
      <c r="P18" s="67"/>
    </row>
    <row r="19" spans="2:148" s="84" customFormat="1" ht="14.25" customHeight="1">
      <c r="B19" s="85"/>
      <c r="C19" s="86" t="s">
        <v>134</v>
      </c>
      <c r="D19" s="86"/>
      <c r="E19" s="86"/>
      <c r="F19" s="86"/>
      <c r="G19" s="86"/>
      <c r="H19" s="86"/>
      <c r="I19" s="86"/>
      <c r="J19" s="218"/>
      <c r="K19" s="218"/>
      <c r="L19" s="87" t="s">
        <v>135</v>
      </c>
      <c r="M19" s="99"/>
      <c r="N19" s="133" t="s">
        <v>136</v>
      </c>
      <c r="O19" s="86"/>
      <c r="P19" s="89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</row>
    <row r="20" spans="2:148" s="84" customFormat="1" ht="24.75" customHeight="1">
      <c r="B20" s="85"/>
      <c r="C20" s="86"/>
      <c r="D20" s="86"/>
      <c r="E20" s="86"/>
      <c r="F20" s="86"/>
      <c r="G20" s="86"/>
      <c r="H20" s="86"/>
      <c r="I20" s="86"/>
      <c r="J20" s="88"/>
      <c r="K20" s="88"/>
      <c r="L20" s="86"/>
      <c r="M20" s="88"/>
      <c r="N20" s="88"/>
      <c r="O20" s="86"/>
      <c r="P20" s="89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</row>
    <row r="21" spans="2:148" s="84" customFormat="1" ht="17.25" customHeight="1">
      <c r="B21" s="85"/>
      <c r="C21" s="100" t="s">
        <v>137</v>
      </c>
      <c r="D21" s="101"/>
      <c r="E21" s="102"/>
      <c r="F21" s="103" t="s">
        <v>138</v>
      </c>
      <c r="G21" s="102"/>
      <c r="H21" s="102"/>
      <c r="I21" s="104"/>
      <c r="J21" s="222" t="s">
        <v>139</v>
      </c>
      <c r="K21" s="223"/>
      <c r="L21" s="105" t="s">
        <v>140</v>
      </c>
      <c r="M21" s="105" t="s">
        <v>141</v>
      </c>
      <c r="N21" s="105" t="s">
        <v>142</v>
      </c>
      <c r="O21" s="86"/>
      <c r="P21" s="89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</row>
    <row r="22" spans="2:148" s="84" customFormat="1" ht="24.75" customHeight="1">
      <c r="B22" s="85"/>
      <c r="C22" s="106" t="s">
        <v>143</v>
      </c>
      <c r="D22" s="107"/>
      <c r="E22" s="108"/>
      <c r="F22" s="108"/>
      <c r="G22" s="108"/>
      <c r="H22" s="108"/>
      <c r="I22" s="107"/>
      <c r="J22" s="109"/>
      <c r="K22" s="107"/>
      <c r="L22" s="110"/>
      <c r="M22" s="110"/>
      <c r="N22" s="110"/>
      <c r="O22" s="86"/>
      <c r="P22" s="89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</row>
    <row r="23" spans="2:148" s="84" customFormat="1" ht="24.75" customHeight="1">
      <c r="B23" s="85"/>
      <c r="C23" s="106" t="s">
        <v>144</v>
      </c>
      <c r="D23" s="107"/>
      <c r="E23" s="108"/>
      <c r="F23" s="108"/>
      <c r="G23" s="108"/>
      <c r="H23" s="108"/>
      <c r="I23" s="107"/>
      <c r="J23" s="109"/>
      <c r="K23" s="107"/>
      <c r="L23" s="110"/>
      <c r="M23" s="110"/>
      <c r="N23" s="110"/>
      <c r="O23" s="86"/>
      <c r="P23" s="89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</row>
    <row r="24" spans="2:148" s="84" customFormat="1" ht="24.75" customHeight="1">
      <c r="B24" s="85"/>
      <c r="C24" s="111" t="s">
        <v>145</v>
      </c>
      <c r="D24" s="112"/>
      <c r="E24" s="113"/>
      <c r="F24" s="113"/>
      <c r="G24" s="113"/>
      <c r="H24" s="113"/>
      <c r="I24" s="112"/>
      <c r="J24" s="114"/>
      <c r="K24" s="112"/>
      <c r="L24" s="110"/>
      <c r="M24" s="110"/>
      <c r="N24" s="110"/>
      <c r="O24" s="86"/>
      <c r="P24" s="89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</row>
    <row r="25" spans="2:16" ht="12" customHeight="1"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7"/>
    </row>
    <row r="27" ht="18.75" customHeight="1"/>
    <row r="29" spans="2:16" ht="3.7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</row>
    <row r="30" spans="2:16" ht="27.75" customHeight="1">
      <c r="B30" s="64"/>
      <c r="C30" s="65"/>
      <c r="D30" s="65"/>
      <c r="E30" s="65"/>
      <c r="F30" s="65"/>
      <c r="G30" s="66"/>
      <c r="H30" s="65"/>
      <c r="I30" s="65"/>
      <c r="J30" s="65"/>
      <c r="K30" s="65"/>
      <c r="L30" s="65"/>
      <c r="M30" s="134" t="s">
        <v>122</v>
      </c>
      <c r="N30" s="240"/>
      <c r="O30" s="241"/>
      <c r="P30" s="67"/>
    </row>
    <row r="31" spans="2:148" s="68" customFormat="1" ht="34.5" customHeight="1">
      <c r="B31" s="69"/>
      <c r="C31" s="232">
        <f>IF(M3="","",IF(INDEX(участники!$A$102:$M$963,$M$3+1-100,13)="","",INDEX(участники!$A$102:$M$963,$M$3+1-100,13)))</f>
        <v>400</v>
      </c>
      <c r="D31" s="233"/>
      <c r="E31" s="70"/>
      <c r="F31" s="234"/>
      <c r="G31" s="235"/>
      <c r="H31" s="65"/>
      <c r="I31" s="71"/>
      <c r="J31" s="236">
        <f>IF(M3="","",IF(INDEX(участники!$A$102:$M$963,$M$3+1-100,1)="","",INDEX(участники!$A$102:$M$963,$M$3+1-100,1)))</f>
        <v>302</v>
      </c>
      <c r="K31" s="237"/>
      <c r="L31" s="71"/>
      <c r="M31" s="134" t="s">
        <v>123</v>
      </c>
      <c r="N31" s="130" t="str">
        <f>IF(M3="","",CONCATENATE(IF(INDEX(участники!$A$102:$M$963,$M$3+1-100,3)="","",INDEX(участники!$A$102:$M$963,$M$3+1-100,3)),"  ",IF(INDEX(участники!$A$102:$M$963,$M$3+1-100,3)="","",INDEX(участники!$A$104:$M$963,$M$3+1-100,3))))</f>
        <v>  </v>
      </c>
      <c r="O31" s="72"/>
      <c r="P31" s="73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</row>
    <row r="32" spans="2:148" s="75" customFormat="1" ht="15.75" customHeight="1">
      <c r="B32" s="76"/>
      <c r="C32" s="224" t="s">
        <v>124</v>
      </c>
      <c r="D32" s="224"/>
      <c r="E32" s="77"/>
      <c r="F32" s="225" t="s">
        <v>125</v>
      </c>
      <c r="G32" s="225"/>
      <c r="H32" s="78"/>
      <c r="I32" s="77"/>
      <c r="J32" s="224" t="s">
        <v>126</v>
      </c>
      <c r="K32" s="224"/>
      <c r="L32" s="79"/>
      <c r="M32" s="79"/>
      <c r="N32" s="79"/>
      <c r="O32" s="79"/>
      <c r="P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</row>
    <row r="33" spans="2:16" ht="40.5" customHeight="1">
      <c r="B33" s="64"/>
      <c r="C33" s="226" t="str">
        <f>IF(M3="","",IF(INDEX(участники!$A$102:$M$962,$M$3+1-100,2)="","",INDEX(участники!$A$102:$M$962,$M$3+1-100,2)))</f>
        <v>Желтенкова Виолетта </v>
      </c>
      <c r="D33" s="226"/>
      <c r="E33" s="226"/>
      <c r="F33" s="226"/>
      <c r="G33" s="226"/>
      <c r="H33" s="226"/>
      <c r="I33" s="82"/>
      <c r="J33" s="227" t="str">
        <f>IF(M3="","",IF(INDEX(участники!$A$102:$M$962,$M$3+1-100,4)="","",INDEX(участники!$A$102:$M$962,$M$3+1-100,4)))</f>
        <v>2003</v>
      </c>
      <c r="K33" s="227"/>
      <c r="L33" s="83"/>
      <c r="M33" s="131">
        <f>IF(M3="","",IF(INDEX(участники!$A$102:$M$962,$M$3+1-100,5)="","",INDEX(участники!$A$102:$M$962,$M$3+1-100,5)))</f>
        <v>2</v>
      </c>
      <c r="N33" s="65"/>
      <c r="O33" s="65"/>
      <c r="P33" s="67"/>
    </row>
    <row r="34" spans="2:148" s="84" customFormat="1" ht="12.75" customHeight="1">
      <c r="B34" s="85"/>
      <c r="C34" s="86" t="s">
        <v>127</v>
      </c>
      <c r="D34" s="86"/>
      <c r="E34" s="86"/>
      <c r="F34" s="86"/>
      <c r="G34" s="86"/>
      <c r="H34" s="86"/>
      <c r="I34" s="86"/>
      <c r="J34" s="228" t="s">
        <v>128</v>
      </c>
      <c r="K34" s="228"/>
      <c r="L34" s="86"/>
      <c r="M34" s="88" t="s">
        <v>129</v>
      </c>
      <c r="N34" s="86"/>
      <c r="O34" s="86"/>
      <c r="P34" s="89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</row>
    <row r="35" spans="2:148" s="91" customFormat="1" ht="35.25" customHeight="1">
      <c r="B35" s="92"/>
      <c r="C35" s="229">
        <f>IF(M3="","",IF(INDEX(участники!$A$102:$M$962,$M$3+1-100,6)="","",INDEX(участники!$A$102:$M$962,$M$3+1-100,6)))</f>
      </c>
      <c r="D35" s="220"/>
      <c r="E35" s="220"/>
      <c r="F35" s="220"/>
      <c r="G35" s="93"/>
      <c r="H35" s="216">
        <f>IF(M3="","",IF(INDEX(участники!$A$102:$M$962,$M$3+1-100,8)="","",INDEX(участники!$A$102:$M$962,$M$3+1-100,8)))</f>
      </c>
      <c r="I35" s="216"/>
      <c r="J35" s="216"/>
      <c r="K35" s="94"/>
      <c r="L35" s="221"/>
      <c r="M35" s="221"/>
      <c r="N35" s="221"/>
      <c r="O35" s="94"/>
      <c r="P35" s="95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</row>
    <row r="36" spans="2:148" s="84" customFormat="1" ht="11.25" customHeight="1">
      <c r="B36" s="85"/>
      <c r="C36" s="86" t="s">
        <v>130</v>
      </c>
      <c r="D36" s="86"/>
      <c r="E36" s="86"/>
      <c r="F36" s="86"/>
      <c r="G36" s="97"/>
      <c r="H36" s="217" t="s">
        <v>131</v>
      </c>
      <c r="I36" s="217"/>
      <c r="J36" s="217"/>
      <c r="K36" s="86"/>
      <c r="L36" s="218"/>
      <c r="M36" s="218"/>
      <c r="N36" s="218"/>
      <c r="O36" s="86"/>
      <c r="P36" s="89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</row>
    <row r="37" spans="2:148" s="91" customFormat="1" ht="24" customHeight="1">
      <c r="B37" s="92"/>
      <c r="C37" s="219">
        <f>IF(M3="","",IF(INDEX(участники!$A$102:$M$962,$M$3+1-100,7)="","",INDEX(участники!$A$102:$M$962,$M$3+1-100,7)))</f>
      </c>
      <c r="D37" s="220"/>
      <c r="E37" s="220"/>
      <c r="F37" s="220"/>
      <c r="G37" s="93"/>
      <c r="H37" s="216" t="str">
        <f>IF(M3="","",IF(INDEX(участники!$A$102:$M$962,$M$3+1-100,9)="","",INDEX(участники!$A$102:$M$962,$M$3+1-100,9)))</f>
        <v>Старая Каменка </v>
      </c>
      <c r="I37" s="216"/>
      <c r="J37" s="216"/>
      <c r="K37" s="216"/>
      <c r="L37" s="216"/>
      <c r="M37" s="216"/>
      <c r="N37" s="216"/>
      <c r="O37" s="94"/>
      <c r="P37" s="95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</row>
    <row r="38" spans="2:148" s="84" customFormat="1" ht="9.75" customHeight="1">
      <c r="B38" s="85"/>
      <c r="C38" s="86" t="s">
        <v>132</v>
      </c>
      <c r="D38" s="86"/>
      <c r="E38" s="86"/>
      <c r="F38" s="86"/>
      <c r="G38" s="86"/>
      <c r="H38" s="217" t="s">
        <v>133</v>
      </c>
      <c r="I38" s="217"/>
      <c r="J38" s="217"/>
      <c r="K38" s="217"/>
      <c r="L38" s="217"/>
      <c r="M38" s="217"/>
      <c r="N38" s="86"/>
      <c r="O38" s="86"/>
      <c r="P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</row>
    <row r="39" spans="2:148" s="84" customFormat="1" ht="9.75" customHeight="1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9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</row>
    <row r="40" spans="2:16" ht="26.25" customHeight="1">
      <c r="B40" s="64"/>
      <c r="C40" s="214" t="str">
        <f>IF(M3="","",IF(INDEX(участники!$A$102:$M$962,$M$3+1-100,10)="","",INDEX(участники!$A$102:$M$962,$M$3+1-100,10)))</f>
        <v>Андреев В.В. Кузнецов В.Б</v>
      </c>
      <c r="D40" s="215"/>
      <c r="E40" s="215"/>
      <c r="F40" s="215"/>
      <c r="G40" s="215"/>
      <c r="H40" s="215"/>
      <c r="I40" s="215"/>
      <c r="J40" s="215"/>
      <c r="K40" s="65"/>
      <c r="L40" s="132" t="str">
        <f>IF(M3="","",IF(INDEX(участники!$A$102:$M$962,$M$3+1-100,11)="","",INDEX(участники!$A$102:$M$962,$M$3+1-100,11)))</f>
        <v>1.05.6.2</v>
      </c>
      <c r="M40" s="98"/>
      <c r="N40" s="132" t="str">
        <f>IF(M3="","",IF(INDEX(участники!$A$102:$M$962,$M$3+1-100,12)="","",INDEX(участники!$A$102:$M$962,$M$3+1-100,12)))</f>
        <v>1.05.6</v>
      </c>
      <c r="O40" s="65"/>
      <c r="P40" s="67"/>
    </row>
    <row r="41" spans="2:148" s="84" customFormat="1" ht="14.25" customHeight="1">
      <c r="B41" s="85"/>
      <c r="C41" s="86" t="s">
        <v>134</v>
      </c>
      <c r="D41" s="86"/>
      <c r="E41" s="86"/>
      <c r="F41" s="86"/>
      <c r="G41" s="86"/>
      <c r="H41" s="86"/>
      <c r="I41" s="86"/>
      <c r="J41" s="218"/>
      <c r="K41" s="218"/>
      <c r="L41" s="87" t="s">
        <v>135</v>
      </c>
      <c r="M41" s="99"/>
      <c r="N41" s="133" t="s">
        <v>136</v>
      </c>
      <c r="O41" s="86"/>
      <c r="P41" s="89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</row>
    <row r="42" spans="2:148" s="84" customFormat="1" ht="24.75" customHeight="1">
      <c r="B42" s="85"/>
      <c r="C42" s="86"/>
      <c r="D42" s="86"/>
      <c r="E42" s="86"/>
      <c r="F42" s="86"/>
      <c r="G42" s="86"/>
      <c r="H42" s="86"/>
      <c r="I42" s="86"/>
      <c r="J42" s="88"/>
      <c r="K42" s="88"/>
      <c r="L42" s="86"/>
      <c r="M42" s="88"/>
      <c r="N42" s="88"/>
      <c r="O42" s="86"/>
      <c r="P42" s="89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</row>
    <row r="43" spans="2:148" s="84" customFormat="1" ht="17.25" customHeight="1">
      <c r="B43" s="85"/>
      <c r="C43" s="100" t="s">
        <v>137</v>
      </c>
      <c r="D43" s="101"/>
      <c r="E43" s="102"/>
      <c r="F43" s="103" t="s">
        <v>138</v>
      </c>
      <c r="G43" s="102"/>
      <c r="H43" s="102"/>
      <c r="I43" s="104"/>
      <c r="J43" s="222" t="s">
        <v>139</v>
      </c>
      <c r="K43" s="223"/>
      <c r="L43" s="105" t="s">
        <v>140</v>
      </c>
      <c r="M43" s="105" t="s">
        <v>141</v>
      </c>
      <c r="N43" s="105" t="s">
        <v>142</v>
      </c>
      <c r="O43" s="86"/>
      <c r="P43" s="89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</row>
    <row r="44" spans="2:148" s="84" customFormat="1" ht="24.75" customHeight="1">
      <c r="B44" s="85"/>
      <c r="C44" s="106" t="s">
        <v>143</v>
      </c>
      <c r="D44" s="107"/>
      <c r="E44" s="108"/>
      <c r="F44" s="108"/>
      <c r="G44" s="108"/>
      <c r="H44" s="108"/>
      <c r="I44" s="107"/>
      <c r="J44" s="109"/>
      <c r="K44" s="107"/>
      <c r="L44" s="110"/>
      <c r="M44" s="110"/>
      <c r="N44" s="110"/>
      <c r="O44" s="86"/>
      <c r="P44" s="89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</row>
    <row r="45" spans="2:148" s="84" customFormat="1" ht="24.75" customHeight="1">
      <c r="B45" s="85"/>
      <c r="C45" s="106" t="s">
        <v>144</v>
      </c>
      <c r="D45" s="107"/>
      <c r="E45" s="108"/>
      <c r="F45" s="108"/>
      <c r="G45" s="108"/>
      <c r="H45" s="108"/>
      <c r="I45" s="107"/>
      <c r="J45" s="109"/>
      <c r="K45" s="107"/>
      <c r="L45" s="110"/>
      <c r="M45" s="110"/>
      <c r="N45" s="110"/>
      <c r="O45" s="86"/>
      <c r="P45" s="89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</row>
    <row r="46" spans="2:148" s="84" customFormat="1" ht="24.75" customHeight="1">
      <c r="B46" s="85"/>
      <c r="C46" s="111" t="s">
        <v>145</v>
      </c>
      <c r="D46" s="112"/>
      <c r="E46" s="113"/>
      <c r="F46" s="113"/>
      <c r="G46" s="113"/>
      <c r="H46" s="113"/>
      <c r="I46" s="112"/>
      <c r="J46" s="114"/>
      <c r="K46" s="112"/>
      <c r="L46" s="110"/>
      <c r="M46" s="110"/>
      <c r="N46" s="110"/>
      <c r="O46" s="86"/>
      <c r="P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</row>
    <row r="47" spans="2:16" ht="12" customHeight="1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</row>
    <row r="48" spans="2:16" ht="3.75" customHeight="1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3"/>
    </row>
    <row r="49" spans="2:16" ht="27.75" customHeight="1">
      <c r="B49" s="64"/>
      <c r="C49" s="65"/>
      <c r="D49" s="65"/>
      <c r="E49" s="65"/>
      <c r="F49" s="65"/>
      <c r="G49" s="66"/>
      <c r="H49" s="65"/>
      <c r="I49" s="65"/>
      <c r="J49" s="65"/>
      <c r="K49" s="65"/>
      <c r="L49" s="65"/>
      <c r="M49" s="134" t="s">
        <v>122</v>
      </c>
      <c r="N49" s="238"/>
      <c r="O49" s="239"/>
      <c r="P49" s="67"/>
    </row>
    <row r="50" spans="2:148" s="68" customFormat="1" ht="34.5" customHeight="1">
      <c r="B50" s="69"/>
      <c r="C50" s="232">
        <f>IF(M3="","",IF(INDEX(участники!$A$102:$M$963,$M$3+2-100,13)="","",INDEX(участники!$A$102:$M$963,$M$3+2-100,13)))</f>
        <v>400</v>
      </c>
      <c r="D50" s="233"/>
      <c r="E50" s="70"/>
      <c r="F50" s="234"/>
      <c r="G50" s="235"/>
      <c r="H50" s="65"/>
      <c r="I50" s="71"/>
      <c r="J50" s="236">
        <f>IF(M3="","",IF(INDEX(участники!$A$102:$M$963,$M$3+2-100,1)="","",INDEX(участники!$A$102:$M$963,$M$3+2-100,1)))</f>
        <v>303</v>
      </c>
      <c r="K50" s="237"/>
      <c r="L50" s="71"/>
      <c r="M50" s="134" t="s">
        <v>123</v>
      </c>
      <c r="N50" s="130" t="str">
        <f>IF(M3="","",CONCATENATE(IF(INDEX(участники!$A$102:$M$963,$M$3+2-100,3)="","",INDEX(участники!$A$102:$M$963,$M$3+2-100,3)),"  ",IF(INDEX(участники!$A$102:$M$963,$M$3+2-100,3)="","",INDEX(участники!$A$104:$M$963,$M$3+2-100,3))))</f>
        <v>  </v>
      </c>
      <c r="O50" s="72"/>
      <c r="P50" s="73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</row>
    <row r="51" spans="2:148" s="75" customFormat="1" ht="15.75" customHeight="1">
      <c r="B51" s="76"/>
      <c r="C51" s="224" t="s">
        <v>124</v>
      </c>
      <c r="D51" s="224"/>
      <c r="E51" s="77"/>
      <c r="F51" s="225" t="s">
        <v>125</v>
      </c>
      <c r="G51" s="225"/>
      <c r="H51" s="78"/>
      <c r="I51" s="77"/>
      <c r="J51" s="224" t="s">
        <v>126</v>
      </c>
      <c r="K51" s="224"/>
      <c r="L51" s="79"/>
      <c r="M51" s="79"/>
      <c r="N51" s="79"/>
      <c r="O51" s="79"/>
      <c r="P51" s="80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</row>
    <row r="52" spans="2:16" ht="40.5" customHeight="1">
      <c r="B52" s="64"/>
      <c r="C52" s="226" t="str">
        <f>IF(M3="","",IF(INDEX(участники!$A$102:$M$962,$M$3+2-100,2)="","",INDEX(участники!$A$102:$M$962,$M$3+2-100,2)))</f>
        <v>Уланова Маргарита </v>
      </c>
      <c r="D52" s="226"/>
      <c r="E52" s="226"/>
      <c r="F52" s="226"/>
      <c r="G52" s="226"/>
      <c r="H52" s="226"/>
      <c r="I52" s="82"/>
      <c r="J52" s="227" t="str">
        <f>IF(M3="","",IF(INDEX(участники!$A$102:$M$962,$M$3+2-100,4)="","",INDEX(участники!$A$102:$M$962,$M$3+2-100,4)))</f>
        <v>2000</v>
      </c>
      <c r="K52" s="227"/>
      <c r="L52" s="83"/>
      <c r="M52" s="131">
        <f>IF(M3="","",IF(INDEX(участники!$A$102:$M$962,$M$3+2-100,5)="","",INDEX(участники!$A$102:$M$962,$M$3+2-100,5)))</f>
        <v>2</v>
      </c>
      <c r="N52" s="65"/>
      <c r="O52" s="65"/>
      <c r="P52" s="67"/>
    </row>
    <row r="53" spans="2:148" s="84" customFormat="1" ht="12.75" customHeight="1">
      <c r="B53" s="85"/>
      <c r="C53" s="86" t="s">
        <v>127</v>
      </c>
      <c r="D53" s="86"/>
      <c r="E53" s="86"/>
      <c r="F53" s="86"/>
      <c r="G53" s="86"/>
      <c r="H53" s="86"/>
      <c r="I53" s="86"/>
      <c r="J53" s="228" t="s">
        <v>128</v>
      </c>
      <c r="K53" s="228"/>
      <c r="L53" s="86"/>
      <c r="M53" s="88" t="s">
        <v>129</v>
      </c>
      <c r="N53" s="86"/>
      <c r="O53" s="86"/>
      <c r="P53" s="89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</row>
    <row r="54" spans="2:148" s="91" customFormat="1" ht="35.25" customHeight="1">
      <c r="B54" s="92"/>
      <c r="C54" s="229">
        <f>IF(M3="","",IF(INDEX(участники!$A$102:$M$962,$M$3+2-100,6)="","",INDEX(участники!$A$102:$M$962,$M$3+2-100,6)))</f>
      </c>
      <c r="D54" s="220"/>
      <c r="E54" s="220"/>
      <c r="F54" s="220"/>
      <c r="G54" s="93"/>
      <c r="H54" s="216">
        <f>IF(M3="","",IF(INDEX(участники!$A$102:$M$962,$M$3+2-100,8)="","",INDEX(участники!$A$102:$M$962,$M$3+2-100,8)))</f>
      </c>
      <c r="I54" s="216"/>
      <c r="J54" s="216"/>
      <c r="K54" s="94"/>
      <c r="L54" s="221"/>
      <c r="M54" s="221"/>
      <c r="N54" s="221"/>
      <c r="O54" s="94"/>
      <c r="P54" s="95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</row>
    <row r="55" spans="2:148" s="84" customFormat="1" ht="11.25" customHeight="1">
      <c r="B55" s="85"/>
      <c r="C55" s="86" t="s">
        <v>130</v>
      </c>
      <c r="D55" s="86"/>
      <c r="E55" s="86"/>
      <c r="F55" s="86"/>
      <c r="G55" s="97"/>
      <c r="H55" s="217" t="s">
        <v>131</v>
      </c>
      <c r="I55" s="217"/>
      <c r="J55" s="217"/>
      <c r="K55" s="86"/>
      <c r="L55" s="218"/>
      <c r="M55" s="218"/>
      <c r="N55" s="218"/>
      <c r="O55" s="86"/>
      <c r="P55" s="89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</row>
    <row r="56" spans="2:148" s="91" customFormat="1" ht="24" customHeight="1">
      <c r="B56" s="92"/>
      <c r="C56" s="219">
        <f>IF(M3="","",IF(INDEX(участники!$A$102:$M$962,$M$3+2-100,7)="","",INDEX(участники!$A$102:$M$962,$M$3+2-100,7)))</f>
      </c>
      <c r="D56" s="220"/>
      <c r="E56" s="220"/>
      <c r="F56" s="220"/>
      <c r="G56" s="93"/>
      <c r="H56" s="216" t="str">
        <f>IF(M3="","",IF(INDEX(участники!$A$102:$M$962,$M$3+2-100,9)="","",INDEX(участники!$A$102:$M$962,$M$3+2-100,9)))</f>
        <v>Старая Каменка </v>
      </c>
      <c r="I56" s="216"/>
      <c r="J56" s="216"/>
      <c r="K56" s="216"/>
      <c r="L56" s="216"/>
      <c r="M56" s="216"/>
      <c r="N56" s="216"/>
      <c r="O56" s="94"/>
      <c r="P56" s="95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</row>
    <row r="57" spans="2:148" s="84" customFormat="1" ht="9.75" customHeight="1">
      <c r="B57" s="85"/>
      <c r="C57" s="86" t="s">
        <v>132</v>
      </c>
      <c r="D57" s="86"/>
      <c r="E57" s="86"/>
      <c r="F57" s="86"/>
      <c r="G57" s="86"/>
      <c r="H57" s="217" t="s">
        <v>133</v>
      </c>
      <c r="I57" s="217"/>
      <c r="J57" s="217"/>
      <c r="K57" s="217"/>
      <c r="L57" s="217"/>
      <c r="M57" s="217"/>
      <c r="N57" s="86"/>
      <c r="O57" s="86"/>
      <c r="P57" s="89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</row>
    <row r="58" spans="2:148" s="84" customFormat="1" ht="9.75" customHeight="1"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9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</row>
    <row r="59" spans="2:16" ht="26.25" customHeight="1">
      <c r="B59" s="64"/>
      <c r="C59" s="214" t="str">
        <f>IF(M3="","",IF(INDEX(участники!$A$102:$M$962,$M$3+2-100,10)="","",INDEX(участники!$A$102:$M$962,$M$3+2-100,10)))</f>
        <v>Андреев В.В. Кузнецов В.Б</v>
      </c>
      <c r="D59" s="215"/>
      <c r="E59" s="215"/>
      <c r="F59" s="215"/>
      <c r="G59" s="215"/>
      <c r="H59" s="215"/>
      <c r="I59" s="215"/>
      <c r="J59" s="215"/>
      <c r="K59" s="65"/>
      <c r="L59" s="132" t="str">
        <f>IF(M3="","",IF(INDEX(участники!$A$102:$M$962,$M$3+2-100,11)="","",INDEX(участники!$A$102:$M$962,$M$3+2-100,11)))</f>
        <v>1.09,0</v>
      </c>
      <c r="M59" s="98"/>
      <c r="N59" s="132" t="str">
        <f>IF(M3="","",IF(INDEX(участники!$A$102:$M$962,$M$3+2-100,12)="","",INDEX(участники!$A$102:$M$962,$M$3+2-100,12)))</f>
        <v>1.09.0</v>
      </c>
      <c r="O59" s="65"/>
      <c r="P59" s="67"/>
    </row>
    <row r="60" spans="2:148" s="84" customFormat="1" ht="14.25" customHeight="1">
      <c r="B60" s="85"/>
      <c r="C60" s="86" t="s">
        <v>134</v>
      </c>
      <c r="D60" s="86"/>
      <c r="E60" s="86"/>
      <c r="F60" s="86"/>
      <c r="G60" s="86"/>
      <c r="H60" s="86"/>
      <c r="I60" s="86"/>
      <c r="J60" s="218"/>
      <c r="K60" s="218"/>
      <c r="L60" s="87" t="s">
        <v>135</v>
      </c>
      <c r="M60" s="99"/>
      <c r="N60" s="133" t="s">
        <v>136</v>
      </c>
      <c r="O60" s="86"/>
      <c r="P60" s="89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</row>
    <row r="61" spans="2:148" s="84" customFormat="1" ht="24.75" customHeight="1">
      <c r="B61" s="85"/>
      <c r="C61" s="86"/>
      <c r="D61" s="86"/>
      <c r="E61" s="86"/>
      <c r="F61" s="86"/>
      <c r="G61" s="86"/>
      <c r="H61" s="86"/>
      <c r="I61" s="86"/>
      <c r="J61" s="88"/>
      <c r="K61" s="88"/>
      <c r="L61" s="86"/>
      <c r="M61" s="88"/>
      <c r="N61" s="88"/>
      <c r="O61" s="86"/>
      <c r="P61" s="89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</row>
    <row r="62" spans="2:148" s="84" customFormat="1" ht="17.25" customHeight="1">
      <c r="B62" s="85"/>
      <c r="C62" s="100" t="s">
        <v>137</v>
      </c>
      <c r="D62" s="101"/>
      <c r="E62" s="102"/>
      <c r="F62" s="103" t="s">
        <v>138</v>
      </c>
      <c r="G62" s="102"/>
      <c r="H62" s="102"/>
      <c r="I62" s="104"/>
      <c r="J62" s="222" t="s">
        <v>139</v>
      </c>
      <c r="K62" s="223"/>
      <c r="L62" s="105" t="s">
        <v>140</v>
      </c>
      <c r="M62" s="105" t="s">
        <v>141</v>
      </c>
      <c r="N62" s="105" t="s">
        <v>142</v>
      </c>
      <c r="O62" s="86"/>
      <c r="P62" s="89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</row>
    <row r="63" spans="2:148" s="84" customFormat="1" ht="24.75" customHeight="1">
      <c r="B63" s="85"/>
      <c r="C63" s="106" t="s">
        <v>143</v>
      </c>
      <c r="D63" s="107"/>
      <c r="E63" s="108"/>
      <c r="F63" s="108"/>
      <c r="G63" s="108"/>
      <c r="H63" s="108"/>
      <c r="I63" s="107"/>
      <c r="J63" s="109"/>
      <c r="K63" s="107"/>
      <c r="L63" s="110"/>
      <c r="M63" s="110"/>
      <c r="N63" s="110"/>
      <c r="O63" s="86"/>
      <c r="P63" s="89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</row>
    <row r="64" spans="2:148" s="84" customFormat="1" ht="24.75" customHeight="1">
      <c r="B64" s="85"/>
      <c r="C64" s="106" t="s">
        <v>144</v>
      </c>
      <c r="D64" s="107"/>
      <c r="E64" s="108"/>
      <c r="F64" s="108"/>
      <c r="G64" s="108"/>
      <c r="H64" s="108"/>
      <c r="I64" s="107"/>
      <c r="J64" s="109"/>
      <c r="K64" s="107"/>
      <c r="L64" s="110"/>
      <c r="M64" s="110"/>
      <c r="N64" s="110"/>
      <c r="O64" s="86"/>
      <c r="P64" s="89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</row>
    <row r="65" spans="2:148" s="84" customFormat="1" ht="24.75" customHeight="1">
      <c r="B65" s="85"/>
      <c r="C65" s="111" t="s">
        <v>145</v>
      </c>
      <c r="D65" s="112"/>
      <c r="E65" s="113"/>
      <c r="F65" s="113"/>
      <c r="G65" s="113"/>
      <c r="H65" s="113"/>
      <c r="I65" s="112"/>
      <c r="J65" s="114"/>
      <c r="K65" s="112"/>
      <c r="L65" s="110"/>
      <c r="M65" s="110"/>
      <c r="N65" s="110"/>
      <c r="O65" s="86"/>
      <c r="P65" s="89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</row>
    <row r="66" spans="2:16" ht="12" customHeight="1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7"/>
    </row>
    <row r="68" ht="18.75" customHeight="1"/>
    <row r="70" spans="2:16" ht="3.75" customHeight="1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3"/>
    </row>
    <row r="71" spans="2:16" ht="27.75" customHeight="1">
      <c r="B71" s="64"/>
      <c r="C71" s="65"/>
      <c r="D71" s="65"/>
      <c r="E71" s="65"/>
      <c r="F71" s="65"/>
      <c r="G71" s="66"/>
      <c r="H71" s="65"/>
      <c r="I71" s="65"/>
      <c r="J71" s="65"/>
      <c r="K71" s="65"/>
      <c r="L71" s="65"/>
      <c r="M71" s="134" t="s">
        <v>122</v>
      </c>
      <c r="N71" s="230"/>
      <c r="O71" s="231"/>
      <c r="P71" s="67"/>
    </row>
    <row r="72" spans="2:148" s="68" customFormat="1" ht="34.5" customHeight="1">
      <c r="B72" s="69"/>
      <c r="C72" s="232">
        <f>IF(M3="","",IF(INDEX(участники!$A$102:$M$963,$M$3+3-100,13)="","",INDEX(участники!$A$102:$M$963,$M$3+3-100,13)))</f>
        <v>400</v>
      </c>
      <c r="D72" s="233"/>
      <c r="E72" s="70"/>
      <c r="F72" s="234"/>
      <c r="G72" s="235"/>
      <c r="H72" s="65"/>
      <c r="I72" s="71"/>
      <c r="J72" s="236">
        <f>IF(M3="","",IF(INDEX(участники!$A$102:$M$963,$M$3+3-100,1)="","",INDEX(участники!$A$102:$M$963,$M$3+3-100,1)))</f>
        <v>304</v>
      </c>
      <c r="K72" s="237"/>
      <c r="L72" s="71"/>
      <c r="M72" s="134" t="s">
        <v>123</v>
      </c>
      <c r="N72" s="130" t="str">
        <f>IF(M3="","",CONCATENATE(IF(INDEX(участники!$A$102:$M$963,$M$3+3-100,3)="","",INDEX(участники!$A$102:$M$963,$M$3+3-100,3)),"  ",IF(INDEX(участники!$A$102:$M$963,$M$3+3-100,3)="","",INDEX(участники!$A$104:$M$963,$M$3+3-100,3))))</f>
        <v>  </v>
      </c>
      <c r="O72" s="72"/>
      <c r="P72" s="73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</row>
    <row r="73" spans="2:148" s="75" customFormat="1" ht="15.75" customHeight="1">
      <c r="B73" s="76"/>
      <c r="C73" s="224" t="s">
        <v>124</v>
      </c>
      <c r="D73" s="224"/>
      <c r="E73" s="77"/>
      <c r="F73" s="225" t="s">
        <v>125</v>
      </c>
      <c r="G73" s="225"/>
      <c r="H73" s="78"/>
      <c r="I73" s="77"/>
      <c r="J73" s="224" t="s">
        <v>126</v>
      </c>
      <c r="K73" s="224"/>
      <c r="L73" s="79"/>
      <c r="M73" s="79"/>
      <c r="N73" s="79"/>
      <c r="O73" s="79"/>
      <c r="P73" s="80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</row>
    <row r="74" spans="2:16" ht="40.5" customHeight="1">
      <c r="B74" s="64"/>
      <c r="C74" s="226" t="str">
        <f>IF(M3="","",IF(INDEX(участники!$A$102:$M$962,$M$3+3-100,2)="","",INDEX(участники!$A$102:$M$962,$M$3+3-100,2)))</f>
        <v>Валялкина Елизавета</v>
      </c>
      <c r="D74" s="226"/>
      <c r="E74" s="226"/>
      <c r="F74" s="226"/>
      <c r="G74" s="226"/>
      <c r="H74" s="226"/>
      <c r="I74" s="82"/>
      <c r="J74" s="227" t="str">
        <f>IF(M3="","",IF(INDEX(участники!$A$102:$M$962,$M$3+3-100,4)="","",INDEX(участники!$A$102:$M$962,$M$3+3-100,4)))</f>
        <v>2003</v>
      </c>
      <c r="K74" s="227"/>
      <c r="L74" s="83"/>
      <c r="M74" s="131">
        <f>IF(M3="","",IF(INDEX(участники!$A$102:$M$962,$M$3+3-100,5)="","",INDEX(участники!$A$102:$M$962,$M$3+3-100,5)))</f>
        <v>3</v>
      </c>
      <c r="N74" s="65"/>
      <c r="O74" s="65"/>
      <c r="P74" s="67"/>
    </row>
    <row r="75" spans="2:148" s="84" customFormat="1" ht="12.75" customHeight="1">
      <c r="B75" s="85"/>
      <c r="C75" s="86" t="s">
        <v>127</v>
      </c>
      <c r="D75" s="86"/>
      <c r="E75" s="86"/>
      <c r="F75" s="86"/>
      <c r="G75" s="86"/>
      <c r="H75" s="86"/>
      <c r="I75" s="86"/>
      <c r="J75" s="228" t="s">
        <v>128</v>
      </c>
      <c r="K75" s="228"/>
      <c r="L75" s="86"/>
      <c r="M75" s="88" t="s">
        <v>129</v>
      </c>
      <c r="N75" s="86"/>
      <c r="O75" s="86"/>
      <c r="P75" s="89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</row>
    <row r="76" spans="2:148" s="91" customFormat="1" ht="35.25" customHeight="1">
      <c r="B76" s="92"/>
      <c r="C76" s="229">
        <f>IF(M3="","",IF(INDEX(участники!$A$102:$M$962,$M$3+3-100,6)="","",INDEX(участники!$A$102:$M$962,$M$3+3-100,6)))</f>
      </c>
      <c r="D76" s="220"/>
      <c r="E76" s="220"/>
      <c r="F76" s="220"/>
      <c r="G76" s="93"/>
      <c r="H76" s="216">
        <f>IF(M3="","",IF(INDEX(участники!$A$102:$M$962,$M$3+3-100,8)="","",INDEX(участники!$A$102:$M$962,$M$3+3-100,8)))</f>
      </c>
      <c r="I76" s="216"/>
      <c r="J76" s="216"/>
      <c r="K76" s="94"/>
      <c r="L76" s="221"/>
      <c r="M76" s="221"/>
      <c r="N76" s="221"/>
      <c r="O76" s="94"/>
      <c r="P76" s="95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</row>
    <row r="77" spans="2:148" s="84" customFormat="1" ht="11.25" customHeight="1">
      <c r="B77" s="85"/>
      <c r="C77" s="86" t="s">
        <v>130</v>
      </c>
      <c r="D77" s="86"/>
      <c r="E77" s="86"/>
      <c r="F77" s="86"/>
      <c r="G77" s="97"/>
      <c r="H77" s="217" t="s">
        <v>131</v>
      </c>
      <c r="I77" s="217"/>
      <c r="J77" s="217"/>
      <c r="K77" s="86"/>
      <c r="L77" s="218"/>
      <c r="M77" s="218"/>
      <c r="N77" s="218"/>
      <c r="O77" s="86"/>
      <c r="P77" s="89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</row>
    <row r="78" spans="2:148" s="91" customFormat="1" ht="24" customHeight="1">
      <c r="B78" s="92"/>
      <c r="C78" s="219">
        <f>IF(M3="","",IF(INDEX(участники!$A$102:$M$962,$M$3+3-100,7)="","",INDEX(участники!$A$102:$M$962,$M$3+3-100,7)))</f>
      </c>
      <c r="D78" s="220"/>
      <c r="E78" s="220"/>
      <c r="F78" s="220"/>
      <c r="G78" s="93"/>
      <c r="H78" s="216" t="str">
        <f>IF(M3="","",IF(INDEX(участники!$A$102:$M$962,$M$3+3-100,9)="","",INDEX(участники!$A$102:$M$962,$M$3+3-100,9)))</f>
        <v>Старая Каменка </v>
      </c>
      <c r="I78" s="216"/>
      <c r="J78" s="216"/>
      <c r="K78" s="216"/>
      <c r="L78" s="216"/>
      <c r="M78" s="216"/>
      <c r="N78" s="216"/>
      <c r="O78" s="94"/>
      <c r="P78" s="95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</row>
    <row r="79" spans="2:148" s="84" customFormat="1" ht="9.75" customHeight="1">
      <c r="B79" s="85"/>
      <c r="C79" s="86" t="s">
        <v>132</v>
      </c>
      <c r="D79" s="86"/>
      <c r="E79" s="86"/>
      <c r="F79" s="86"/>
      <c r="G79" s="86"/>
      <c r="H79" s="217" t="s">
        <v>133</v>
      </c>
      <c r="I79" s="217"/>
      <c r="J79" s="217"/>
      <c r="K79" s="217"/>
      <c r="L79" s="217"/>
      <c r="M79" s="217"/>
      <c r="N79" s="86"/>
      <c r="O79" s="86"/>
      <c r="P79" s="89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</row>
    <row r="80" spans="2:148" s="84" customFormat="1" ht="9.75" customHeight="1"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9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</row>
    <row r="81" spans="2:16" ht="26.25" customHeight="1">
      <c r="B81" s="64"/>
      <c r="C81" s="214" t="str">
        <f>IF(M3="","",IF(INDEX(участники!$A$102:$M$962,$M$3+3-100,10)="","",INDEX(участники!$A$102:$M$962,$M$3+3-100,10)))</f>
        <v>Андреев В.В. Кузнецов В.Б</v>
      </c>
      <c r="D81" s="215"/>
      <c r="E81" s="215"/>
      <c r="F81" s="215"/>
      <c r="G81" s="215"/>
      <c r="H81" s="215"/>
      <c r="I81" s="215"/>
      <c r="J81" s="215"/>
      <c r="K81" s="65"/>
      <c r="L81" s="132" t="str">
        <f>IF(M3="","",IF(INDEX(участники!$A$102:$M$962,$M$3+3-100,11)="","",INDEX(участники!$A$102:$M$962,$M$3+3-100,11)))</f>
        <v>1.13.2</v>
      </c>
      <c r="M81" s="98"/>
      <c r="N81" s="132" t="str">
        <f>IF(M3="","",IF(INDEX(участники!$A$102:$M$962,$M$3+3-100,12)="","",INDEX(участники!$A$102:$M$962,$M$3+3-100,12)))</f>
        <v>1.13.2</v>
      </c>
      <c r="O81" s="65"/>
      <c r="P81" s="67"/>
    </row>
    <row r="82" spans="2:148" s="84" customFormat="1" ht="14.25" customHeight="1">
      <c r="B82" s="85"/>
      <c r="C82" s="86" t="s">
        <v>134</v>
      </c>
      <c r="D82" s="86"/>
      <c r="E82" s="86"/>
      <c r="F82" s="86"/>
      <c r="G82" s="86"/>
      <c r="H82" s="86"/>
      <c r="I82" s="86"/>
      <c r="J82" s="218"/>
      <c r="K82" s="218"/>
      <c r="L82" s="87" t="s">
        <v>135</v>
      </c>
      <c r="M82" s="99"/>
      <c r="N82" s="133" t="s">
        <v>136</v>
      </c>
      <c r="O82" s="86"/>
      <c r="P82" s="89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</row>
    <row r="83" spans="2:148" s="84" customFormat="1" ht="24.75" customHeight="1">
      <c r="B83" s="85"/>
      <c r="C83" s="86"/>
      <c r="D83" s="86"/>
      <c r="E83" s="86"/>
      <c r="F83" s="86"/>
      <c r="G83" s="86"/>
      <c r="H83" s="86"/>
      <c r="I83" s="86"/>
      <c r="J83" s="88"/>
      <c r="K83" s="88"/>
      <c r="L83" s="86"/>
      <c r="M83" s="88"/>
      <c r="N83" s="88"/>
      <c r="O83" s="86"/>
      <c r="P83" s="89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</row>
    <row r="84" spans="2:148" s="84" customFormat="1" ht="17.25" customHeight="1">
      <c r="B84" s="85"/>
      <c r="C84" s="100" t="s">
        <v>137</v>
      </c>
      <c r="D84" s="101"/>
      <c r="E84" s="102"/>
      <c r="F84" s="103" t="s">
        <v>138</v>
      </c>
      <c r="G84" s="102"/>
      <c r="H84" s="102"/>
      <c r="I84" s="104"/>
      <c r="J84" s="222" t="s">
        <v>139</v>
      </c>
      <c r="K84" s="223"/>
      <c r="L84" s="105" t="s">
        <v>140</v>
      </c>
      <c r="M84" s="105" t="s">
        <v>141</v>
      </c>
      <c r="N84" s="105" t="s">
        <v>142</v>
      </c>
      <c r="O84" s="86"/>
      <c r="P84" s="89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</row>
    <row r="85" spans="2:148" s="84" customFormat="1" ht="24.75" customHeight="1">
      <c r="B85" s="85"/>
      <c r="C85" s="106" t="s">
        <v>143</v>
      </c>
      <c r="D85" s="107"/>
      <c r="E85" s="108"/>
      <c r="F85" s="108"/>
      <c r="G85" s="108"/>
      <c r="H85" s="108"/>
      <c r="I85" s="107"/>
      <c r="J85" s="109"/>
      <c r="K85" s="107"/>
      <c r="L85" s="110"/>
      <c r="M85" s="110"/>
      <c r="N85" s="110"/>
      <c r="O85" s="86"/>
      <c r="P85" s="89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</row>
    <row r="86" spans="2:148" s="84" customFormat="1" ht="24.75" customHeight="1">
      <c r="B86" s="85"/>
      <c r="C86" s="106" t="s">
        <v>144</v>
      </c>
      <c r="D86" s="107"/>
      <c r="E86" s="108"/>
      <c r="F86" s="108"/>
      <c r="G86" s="108"/>
      <c r="H86" s="108"/>
      <c r="I86" s="107"/>
      <c r="J86" s="109"/>
      <c r="K86" s="107"/>
      <c r="L86" s="110"/>
      <c r="M86" s="110"/>
      <c r="N86" s="110"/>
      <c r="O86" s="86"/>
      <c r="P86" s="89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</row>
    <row r="87" spans="2:148" s="84" customFormat="1" ht="24.75" customHeight="1">
      <c r="B87" s="85"/>
      <c r="C87" s="111" t="s">
        <v>145</v>
      </c>
      <c r="D87" s="112"/>
      <c r="E87" s="113"/>
      <c r="F87" s="113"/>
      <c r="G87" s="113"/>
      <c r="H87" s="113"/>
      <c r="I87" s="112"/>
      <c r="J87" s="114"/>
      <c r="K87" s="112"/>
      <c r="L87" s="110"/>
      <c r="M87" s="110"/>
      <c r="N87" s="110"/>
      <c r="O87" s="86"/>
      <c r="P87" s="89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</row>
    <row r="88" spans="2:16" ht="12" customHeight="1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</row>
    <row r="89" spans="2:16" ht="3.7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3"/>
    </row>
    <row r="90" spans="2:16" ht="27.75" customHeight="1">
      <c r="B90" s="64"/>
      <c r="C90" s="65"/>
      <c r="D90" s="65"/>
      <c r="E90" s="65"/>
      <c r="F90" s="65"/>
      <c r="G90" s="66"/>
      <c r="H90" s="65"/>
      <c r="I90" s="65"/>
      <c r="J90" s="65"/>
      <c r="K90" s="65"/>
      <c r="L90" s="65"/>
      <c r="M90" s="134" t="s">
        <v>122</v>
      </c>
      <c r="N90" s="240"/>
      <c r="O90" s="241"/>
      <c r="P90" s="67"/>
    </row>
    <row r="91" spans="2:148" s="68" customFormat="1" ht="34.5" customHeight="1">
      <c r="B91" s="69"/>
      <c r="C91" s="232">
        <f>IF(M3="","",IF(INDEX(участники!$A$102:$M$963,$M$3+4-100,13)="","",INDEX(участники!$A$102:$M$963,$M$3+4-100,13)))</f>
        <v>60</v>
      </c>
      <c r="D91" s="233"/>
      <c r="E91" s="70"/>
      <c r="F91" s="234"/>
      <c r="G91" s="235"/>
      <c r="H91" s="65"/>
      <c r="I91" s="71"/>
      <c r="J91" s="236">
        <f>IF(M3="","",IF(INDEX(участники!$A$102:$M$963,$M$3+4-100,1)="","",INDEX(участники!$A$102:$M$963,$M$3+4-100,1)))</f>
        <v>345</v>
      </c>
      <c r="K91" s="237"/>
      <c r="L91" s="71"/>
      <c r="M91" s="134" t="s">
        <v>123</v>
      </c>
      <c r="N91" s="135" t="str">
        <f>IF(M3="","",CONCATENATE(IF(INDEX(участники!$A$102:$M$963,$M$3+4-100,3)="","",INDEX(участники!$A$102:$M$963,$M$3+4-100,3)),"  ",IF(INDEX(участники!$A$102:$M$963,$M$3+4-100,3)="","",INDEX(участники!$A$104:$M$963,$M$3+4-100,3))))</f>
        <v>  </v>
      </c>
      <c r="O91" s="72"/>
      <c r="P91" s="73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</row>
    <row r="92" spans="2:148" s="75" customFormat="1" ht="15.75" customHeight="1">
      <c r="B92" s="76"/>
      <c r="C92" s="224" t="s">
        <v>124</v>
      </c>
      <c r="D92" s="224"/>
      <c r="E92" s="77"/>
      <c r="F92" s="225" t="s">
        <v>125</v>
      </c>
      <c r="G92" s="225"/>
      <c r="H92" s="78"/>
      <c r="I92" s="77"/>
      <c r="J92" s="224" t="s">
        <v>126</v>
      </c>
      <c r="K92" s="224"/>
      <c r="L92" s="79"/>
      <c r="M92" s="79"/>
      <c r="N92" s="79"/>
      <c r="O92" s="79"/>
      <c r="P92" s="80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</row>
    <row r="93" spans="2:16" ht="40.5" customHeight="1">
      <c r="B93" s="64"/>
      <c r="C93" s="226" t="str">
        <f>IF(M3="","",IF(INDEX(участники!$A$102:$M$962,$M$3+4-100,2)="","",INDEX(участники!$A$102:$M$962,$M$3+4-100,2)))</f>
        <v>Греднева Настя </v>
      </c>
      <c r="D93" s="226"/>
      <c r="E93" s="226"/>
      <c r="F93" s="226"/>
      <c r="G93" s="226"/>
      <c r="H93" s="226"/>
      <c r="I93" s="82"/>
      <c r="J93" s="227">
        <f>IF(M3="","",IF(INDEX(участники!$A$102:$M$962,$M$3+4-100,4)="","",INDEX(участники!$A$102:$M$962,$M$3+4-100,4)))</f>
        <v>1999</v>
      </c>
      <c r="K93" s="227"/>
      <c r="L93" s="83"/>
      <c r="M93" s="131">
        <f>IF(M3="","",IF(INDEX(участники!$A$102:$M$962,$M$3+4-100,5)="","",INDEX(участники!$A$102:$M$962,$M$3+4-100,5)))</f>
        <v>1</v>
      </c>
      <c r="N93" s="65"/>
      <c r="O93" s="65"/>
      <c r="P93" s="67"/>
    </row>
    <row r="94" spans="2:148" s="84" customFormat="1" ht="12.75" customHeight="1">
      <c r="B94" s="85"/>
      <c r="C94" s="86" t="s">
        <v>127</v>
      </c>
      <c r="D94" s="86"/>
      <c r="E94" s="86"/>
      <c r="F94" s="86"/>
      <c r="G94" s="86"/>
      <c r="H94" s="86"/>
      <c r="I94" s="86"/>
      <c r="J94" s="228" t="s">
        <v>128</v>
      </c>
      <c r="K94" s="228"/>
      <c r="L94" s="86"/>
      <c r="M94" s="88" t="s">
        <v>129</v>
      </c>
      <c r="N94" s="86"/>
      <c r="O94" s="86"/>
      <c r="P94" s="89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</row>
    <row r="95" spans="2:148" s="91" customFormat="1" ht="35.25" customHeight="1">
      <c r="B95" s="92"/>
      <c r="C95" s="229">
        <f>IF(M3="","",IF(INDEX(участники!$A$102:$M$962,$M$3+4-100,6)="","",INDEX(участники!$A$102:$M$962,$M$3+4-100,6)))</f>
      </c>
      <c r="D95" s="220"/>
      <c r="E95" s="220"/>
      <c r="F95" s="220"/>
      <c r="G95" s="93"/>
      <c r="H95" s="216">
        <f>IF(M3="","",IF(INDEX(участники!$A$102:$M$962,$M$3+4-100,8)="","",INDEX(участники!$A$102:$M$962,$M$3+4-100,8)))</f>
      </c>
      <c r="I95" s="216"/>
      <c r="J95" s="216"/>
      <c r="K95" s="94"/>
      <c r="L95" s="221"/>
      <c r="M95" s="221"/>
      <c r="N95" s="221"/>
      <c r="O95" s="94"/>
      <c r="P95" s="95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</row>
    <row r="96" spans="2:148" s="84" customFormat="1" ht="11.25" customHeight="1">
      <c r="B96" s="85"/>
      <c r="C96" s="86" t="s">
        <v>130</v>
      </c>
      <c r="D96" s="86"/>
      <c r="E96" s="86"/>
      <c r="F96" s="86"/>
      <c r="G96" s="97"/>
      <c r="H96" s="217" t="s">
        <v>131</v>
      </c>
      <c r="I96" s="217"/>
      <c r="J96" s="217"/>
      <c r="K96" s="86"/>
      <c r="L96" s="218"/>
      <c r="M96" s="218"/>
      <c r="N96" s="218"/>
      <c r="O96" s="86"/>
      <c r="P96" s="89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</row>
    <row r="97" spans="2:148" s="91" customFormat="1" ht="24" customHeight="1">
      <c r="B97" s="92"/>
      <c r="C97" s="219">
        <f>IF(M3="","",IF(INDEX(участники!$A$102:$M$962,$M$3+4-100,7)="","",INDEX(участники!$A$102:$M$962,$M$3+4-100,7)))</f>
      </c>
      <c r="D97" s="220"/>
      <c r="E97" s="220"/>
      <c r="F97" s="220"/>
      <c r="G97" s="93"/>
      <c r="H97" s="216" t="str">
        <f>IF(M3="","",IF(INDEX(участники!$A$102:$M$962,$M$3+4-100,9)="","",INDEX(участники!$A$102:$M$962,$M$3+4-100,9)))</f>
        <v>Варыпаево</v>
      </c>
      <c r="I97" s="216"/>
      <c r="J97" s="216"/>
      <c r="K97" s="216"/>
      <c r="L97" s="216"/>
      <c r="M97" s="216"/>
      <c r="N97" s="216"/>
      <c r="O97" s="94"/>
      <c r="P97" s="95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</row>
    <row r="98" spans="2:148" s="84" customFormat="1" ht="9.75" customHeight="1">
      <c r="B98" s="85"/>
      <c r="C98" s="86" t="s">
        <v>132</v>
      </c>
      <c r="D98" s="86"/>
      <c r="E98" s="86"/>
      <c r="F98" s="86"/>
      <c r="G98" s="86"/>
      <c r="H98" s="217" t="s">
        <v>133</v>
      </c>
      <c r="I98" s="217"/>
      <c r="J98" s="217"/>
      <c r="K98" s="217"/>
      <c r="L98" s="217"/>
      <c r="M98" s="217"/>
      <c r="N98" s="86"/>
      <c r="O98" s="86"/>
      <c r="P98" s="89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</row>
    <row r="99" spans="2:148" s="84" customFormat="1" ht="9.75" customHeight="1"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9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</row>
    <row r="100" spans="2:16" ht="26.25" customHeight="1">
      <c r="B100" s="64"/>
      <c r="C100" s="214" t="str">
        <f>IF(M3="","",IF(INDEX(участники!$A$102:$M$962,$M$3+4-100,10)="","",INDEX(участники!$A$102:$M$962,$M$3+4-100,10)))</f>
        <v>Греднев Р.В.</v>
      </c>
      <c r="D100" s="215"/>
      <c r="E100" s="215"/>
      <c r="F100" s="215"/>
      <c r="G100" s="215"/>
      <c r="H100" s="215"/>
      <c r="I100" s="215"/>
      <c r="J100" s="215"/>
      <c r="K100" s="65"/>
      <c r="L100" s="132" t="str">
        <f>IF(M3="","",IF(INDEX(участники!$A$102:$M$962,$M$3+4-100,11)="","",INDEX(участники!$A$102:$M$962,$M$3+4-100,11)))</f>
        <v>8.0</v>
      </c>
      <c r="M100" s="98"/>
      <c r="N100" s="132" t="str">
        <f>IF(M3="","",IF(INDEX(участники!$A$102:$M$962,$M$3+4-100,12)="","",INDEX(участники!$A$102:$M$962,$M$3+4-100,12)))</f>
        <v>8.2</v>
      </c>
      <c r="O100" s="65"/>
      <c r="P100" s="67"/>
    </row>
    <row r="101" spans="2:148" s="84" customFormat="1" ht="14.25" customHeight="1">
      <c r="B101" s="85"/>
      <c r="C101" s="86" t="s">
        <v>134</v>
      </c>
      <c r="D101" s="86"/>
      <c r="E101" s="86"/>
      <c r="F101" s="86"/>
      <c r="G101" s="86"/>
      <c r="H101" s="86"/>
      <c r="I101" s="86"/>
      <c r="J101" s="218"/>
      <c r="K101" s="218"/>
      <c r="L101" s="87" t="s">
        <v>135</v>
      </c>
      <c r="M101" s="99"/>
      <c r="N101" s="133" t="s">
        <v>136</v>
      </c>
      <c r="O101" s="86"/>
      <c r="P101" s="89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</row>
    <row r="102" spans="2:148" s="84" customFormat="1" ht="24.75" customHeight="1">
      <c r="B102" s="85"/>
      <c r="C102" s="86"/>
      <c r="D102" s="86"/>
      <c r="E102" s="86"/>
      <c r="F102" s="86"/>
      <c r="G102" s="86"/>
      <c r="H102" s="86"/>
      <c r="I102" s="86"/>
      <c r="J102" s="88"/>
      <c r="K102" s="88"/>
      <c r="L102" s="86"/>
      <c r="M102" s="88"/>
      <c r="N102" s="88"/>
      <c r="O102" s="86"/>
      <c r="P102" s="89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</row>
    <row r="103" spans="2:148" s="84" customFormat="1" ht="17.25" customHeight="1">
      <c r="B103" s="85"/>
      <c r="C103" s="100" t="s">
        <v>137</v>
      </c>
      <c r="D103" s="101"/>
      <c r="E103" s="102"/>
      <c r="F103" s="103" t="s">
        <v>138</v>
      </c>
      <c r="G103" s="102"/>
      <c r="H103" s="102"/>
      <c r="I103" s="104"/>
      <c r="J103" s="222" t="s">
        <v>139</v>
      </c>
      <c r="K103" s="223"/>
      <c r="L103" s="105" t="s">
        <v>140</v>
      </c>
      <c r="M103" s="105" t="s">
        <v>141</v>
      </c>
      <c r="N103" s="105" t="s">
        <v>142</v>
      </c>
      <c r="O103" s="86"/>
      <c r="P103" s="89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</row>
    <row r="104" spans="2:148" s="84" customFormat="1" ht="24.75" customHeight="1">
      <c r="B104" s="85"/>
      <c r="C104" s="106" t="s">
        <v>143</v>
      </c>
      <c r="D104" s="107"/>
      <c r="E104" s="108"/>
      <c r="F104" s="108"/>
      <c r="G104" s="108"/>
      <c r="H104" s="108"/>
      <c r="I104" s="107"/>
      <c r="J104" s="109"/>
      <c r="K104" s="107"/>
      <c r="L104" s="110"/>
      <c r="M104" s="110"/>
      <c r="N104" s="110"/>
      <c r="O104" s="86"/>
      <c r="P104" s="89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</row>
    <row r="105" spans="2:148" s="84" customFormat="1" ht="24.75" customHeight="1">
      <c r="B105" s="85"/>
      <c r="C105" s="106" t="s">
        <v>144</v>
      </c>
      <c r="D105" s="107"/>
      <c r="E105" s="108"/>
      <c r="F105" s="108"/>
      <c r="G105" s="108"/>
      <c r="H105" s="108"/>
      <c r="I105" s="107"/>
      <c r="J105" s="109"/>
      <c r="K105" s="107"/>
      <c r="L105" s="110"/>
      <c r="M105" s="110"/>
      <c r="N105" s="110"/>
      <c r="O105" s="86"/>
      <c r="P105" s="89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</row>
    <row r="106" spans="2:148" s="84" customFormat="1" ht="24.75" customHeight="1">
      <c r="B106" s="85"/>
      <c r="C106" s="111" t="s">
        <v>145</v>
      </c>
      <c r="D106" s="112"/>
      <c r="E106" s="113"/>
      <c r="F106" s="113"/>
      <c r="G106" s="113"/>
      <c r="H106" s="113"/>
      <c r="I106" s="112"/>
      <c r="J106" s="114"/>
      <c r="K106" s="112"/>
      <c r="L106" s="110"/>
      <c r="M106" s="110"/>
      <c r="N106" s="110"/>
      <c r="O106" s="86"/>
      <c r="P106" s="89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</row>
    <row r="107" spans="2:16" ht="12" customHeight="1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7"/>
    </row>
    <row r="109" ht="18.75" customHeight="1"/>
    <row r="111" spans="2:16" ht="3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3"/>
    </row>
    <row r="112" spans="2:16" ht="27.75" customHeight="1">
      <c r="B112" s="64"/>
      <c r="C112" s="65"/>
      <c r="D112" s="65"/>
      <c r="E112" s="65"/>
      <c r="F112" s="65"/>
      <c r="G112" s="66"/>
      <c r="H112" s="65"/>
      <c r="I112" s="65"/>
      <c r="J112" s="65"/>
      <c r="K112" s="65"/>
      <c r="L112" s="65"/>
      <c r="M112" s="134" t="s">
        <v>122</v>
      </c>
      <c r="N112" s="240"/>
      <c r="O112" s="241"/>
      <c r="P112" s="67"/>
    </row>
    <row r="113" spans="2:148" s="68" customFormat="1" ht="34.5" customHeight="1">
      <c r="B113" s="69"/>
      <c r="C113" s="232" t="str">
        <f>IF(M3="","",IF(INDEX(участники!$A$102:$M$963,$M$3+5-100,13)="","",INDEX(участники!$A$102:$M$963,$M$3+5-100,13)))</f>
        <v>ДЛИНА</v>
      </c>
      <c r="D113" s="233"/>
      <c r="E113" s="70"/>
      <c r="F113" s="234"/>
      <c r="G113" s="235"/>
      <c r="H113" s="65"/>
      <c r="I113" s="71"/>
      <c r="J113" s="236">
        <f>IF(M3="","",IF(INDEX(участники!$A$102:$M$963,$M$3+5-100,1)="","",INDEX(участники!$A$102:$M$963,$M$3+5-100,1)))</f>
        <v>345</v>
      </c>
      <c r="K113" s="237"/>
      <c r="L113" s="71"/>
      <c r="M113" s="134" t="s">
        <v>123</v>
      </c>
      <c r="N113" s="130" t="str">
        <f>IF(M3="","",CONCATENATE(IF(INDEX(участники!$A$102:$M$963,$M$3+5-100,3)="","",INDEX(участники!$A$102:$M$963,$M$3+5-100,3)),"  ",IF(INDEX(участники!$A$102:$M$963,$M$3+5-100,3)="","",INDEX(участники!$A$104:$M$963,$M$3+5-100,3))))</f>
        <v>  </v>
      </c>
      <c r="O113" s="72"/>
      <c r="P113" s="73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</row>
    <row r="114" spans="2:148" s="75" customFormat="1" ht="15.75" customHeight="1">
      <c r="B114" s="76"/>
      <c r="C114" s="224" t="s">
        <v>124</v>
      </c>
      <c r="D114" s="224"/>
      <c r="E114" s="77"/>
      <c r="F114" s="225" t="s">
        <v>125</v>
      </c>
      <c r="G114" s="225"/>
      <c r="H114" s="78"/>
      <c r="I114" s="77"/>
      <c r="J114" s="224" t="s">
        <v>126</v>
      </c>
      <c r="K114" s="224"/>
      <c r="L114" s="79"/>
      <c r="M114" s="79"/>
      <c r="N114" s="79"/>
      <c r="O114" s="79"/>
      <c r="P114" s="80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</row>
    <row r="115" spans="2:16" ht="40.5" customHeight="1">
      <c r="B115" s="64"/>
      <c r="C115" s="226" t="str">
        <f>IF(M3="","",IF(INDEX(участники!$A$102:$M$962,$M$3+5-100,2)="","",INDEX(участники!$A$102:$M$962,$M$3+5-100,2)))</f>
        <v>Греднева Настя </v>
      </c>
      <c r="D115" s="226"/>
      <c r="E115" s="226"/>
      <c r="F115" s="226"/>
      <c r="G115" s="226"/>
      <c r="H115" s="226"/>
      <c r="I115" s="82"/>
      <c r="J115" s="227">
        <f>IF(M3="","",IF(INDEX(участники!$A$102:$M$962,$M$3+5-100,4)="","",INDEX(участники!$A$102:$M$962,$M$3+5-100,4)))</f>
        <v>1999</v>
      </c>
      <c r="K115" s="227"/>
      <c r="L115" s="83"/>
      <c r="M115" s="131">
        <f>IF(M3="","",IF(INDEX(участники!$A$102:$M$962,$M$3+5-100,5)="","",INDEX(участники!$A$102:$M$962,$M$3+5-100,5)))</f>
        <v>3</v>
      </c>
      <c r="N115" s="65"/>
      <c r="O115" s="65"/>
      <c r="P115" s="67"/>
    </row>
    <row r="116" spans="2:148" s="84" customFormat="1" ht="12.75" customHeight="1">
      <c r="B116" s="85"/>
      <c r="C116" s="86" t="s">
        <v>127</v>
      </c>
      <c r="D116" s="86"/>
      <c r="E116" s="86"/>
      <c r="F116" s="86"/>
      <c r="G116" s="86"/>
      <c r="H116" s="86"/>
      <c r="I116" s="86"/>
      <c r="J116" s="228" t="s">
        <v>128</v>
      </c>
      <c r="K116" s="228"/>
      <c r="L116" s="86"/>
      <c r="M116" s="88" t="s">
        <v>129</v>
      </c>
      <c r="N116" s="86"/>
      <c r="O116" s="86"/>
      <c r="P116" s="89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</row>
    <row r="117" spans="2:148" s="91" customFormat="1" ht="35.25" customHeight="1">
      <c r="B117" s="92"/>
      <c r="C117" s="229">
        <f>IF(M3="","",IF(INDEX(участники!$A$102:$M$962,$M$3+5-100,6)="","",INDEX(участники!$A$102:$M$962,$M$3+5-100,6)))</f>
      </c>
      <c r="D117" s="220"/>
      <c r="E117" s="220"/>
      <c r="F117" s="220"/>
      <c r="G117" s="93"/>
      <c r="H117" s="216">
        <f>IF(M3="","",IF(INDEX(участники!$A$102:$M$962,$M$3+5-100,8)="","",INDEX(участники!$A$102:$M$962,$M$3+5-100,8)))</f>
      </c>
      <c r="I117" s="216"/>
      <c r="J117" s="216"/>
      <c r="K117" s="94"/>
      <c r="L117" s="221"/>
      <c r="M117" s="221"/>
      <c r="N117" s="221"/>
      <c r="O117" s="94"/>
      <c r="P117" s="95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</row>
    <row r="118" spans="2:148" s="84" customFormat="1" ht="11.25" customHeight="1">
      <c r="B118" s="85"/>
      <c r="C118" s="86" t="s">
        <v>130</v>
      </c>
      <c r="D118" s="86"/>
      <c r="E118" s="86"/>
      <c r="F118" s="86"/>
      <c r="G118" s="97"/>
      <c r="H118" s="217" t="s">
        <v>131</v>
      </c>
      <c r="I118" s="217"/>
      <c r="J118" s="217"/>
      <c r="K118" s="86"/>
      <c r="L118" s="218"/>
      <c r="M118" s="218"/>
      <c r="N118" s="218"/>
      <c r="O118" s="86"/>
      <c r="P118" s="89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</row>
    <row r="119" spans="2:148" s="91" customFormat="1" ht="24" customHeight="1">
      <c r="B119" s="92"/>
      <c r="C119" s="219">
        <f>IF(M3="","",IF(INDEX(участники!$A$102:$M$962,$M$3+5-100,7)="","",INDEX(участники!$A$102:$M$962,$M$3+5-100,7)))</f>
      </c>
      <c r="D119" s="220"/>
      <c r="E119" s="220"/>
      <c r="F119" s="220"/>
      <c r="G119" s="93"/>
      <c r="H119" s="216" t="str">
        <f>IF(M3="","",IF(INDEX(участники!$A$102:$M$962,$M$3+5-100,9)="","",INDEX(участники!$A$102:$M$962,$M$3+5-100,9)))</f>
        <v>Варыпаево</v>
      </c>
      <c r="I119" s="216"/>
      <c r="J119" s="216"/>
      <c r="K119" s="216"/>
      <c r="L119" s="216"/>
      <c r="M119" s="216"/>
      <c r="N119" s="216"/>
      <c r="O119" s="94"/>
      <c r="P119" s="95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</row>
    <row r="120" spans="2:148" s="84" customFormat="1" ht="9.75" customHeight="1">
      <c r="B120" s="85"/>
      <c r="C120" s="86" t="s">
        <v>132</v>
      </c>
      <c r="D120" s="86"/>
      <c r="E120" s="86"/>
      <c r="F120" s="86"/>
      <c r="G120" s="86"/>
      <c r="H120" s="217" t="s">
        <v>133</v>
      </c>
      <c r="I120" s="217"/>
      <c r="J120" s="217"/>
      <c r="K120" s="217"/>
      <c r="L120" s="217"/>
      <c r="M120" s="217"/>
      <c r="N120" s="86"/>
      <c r="O120" s="86"/>
      <c r="P120" s="89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</row>
    <row r="121" spans="2:148" s="84" customFormat="1" ht="9.75" customHeight="1">
      <c r="B121" s="85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9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</row>
    <row r="122" spans="2:16" ht="26.25" customHeight="1">
      <c r="B122" s="64"/>
      <c r="C122" s="214" t="str">
        <f>IF(M3="","",IF(INDEX(участники!$A$102:$M$962,$M$3+5-100,10)="","",INDEX(участники!$A$102:$M$962,$M$3+5-100,10)))</f>
        <v>Греднев Р.В.</v>
      </c>
      <c r="D122" s="215"/>
      <c r="E122" s="215"/>
      <c r="F122" s="215"/>
      <c r="G122" s="215"/>
      <c r="H122" s="215"/>
      <c r="I122" s="215"/>
      <c r="J122" s="215"/>
      <c r="K122" s="65"/>
      <c r="L122" s="132" t="str">
        <f>IF(M3="","",IF(INDEX(участники!$A$102:$M$962,$M$3+5-100,11)="","",INDEX(участники!$A$102:$M$962,$M$3+5-100,11)))</f>
        <v>5.13 </v>
      </c>
      <c r="M122" s="98"/>
      <c r="N122" s="132" t="str">
        <f>IF(M3="","",IF(INDEX(участники!$A$102:$M$962,$M$3+5-100,12)="","",INDEX(участники!$A$102:$M$962,$M$3+5-100,12)))</f>
        <v>5.13</v>
      </c>
      <c r="O122" s="65"/>
      <c r="P122" s="67"/>
    </row>
    <row r="123" spans="2:148" s="84" customFormat="1" ht="14.25" customHeight="1">
      <c r="B123" s="85"/>
      <c r="C123" s="86" t="s">
        <v>134</v>
      </c>
      <c r="D123" s="86"/>
      <c r="E123" s="86"/>
      <c r="F123" s="86"/>
      <c r="G123" s="86"/>
      <c r="H123" s="86"/>
      <c r="I123" s="86"/>
      <c r="J123" s="218"/>
      <c r="K123" s="218"/>
      <c r="L123" s="87" t="s">
        <v>135</v>
      </c>
      <c r="M123" s="99"/>
      <c r="N123" s="133" t="s">
        <v>136</v>
      </c>
      <c r="O123" s="86"/>
      <c r="P123" s="89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</row>
    <row r="124" spans="2:148" s="84" customFormat="1" ht="24.75" customHeight="1">
      <c r="B124" s="85"/>
      <c r="C124" s="86"/>
      <c r="D124" s="86"/>
      <c r="E124" s="86"/>
      <c r="F124" s="86"/>
      <c r="G124" s="86"/>
      <c r="H124" s="86"/>
      <c r="I124" s="86"/>
      <c r="J124" s="88"/>
      <c r="K124" s="88"/>
      <c r="L124" s="86"/>
      <c r="M124" s="88"/>
      <c r="N124" s="88"/>
      <c r="O124" s="86"/>
      <c r="P124" s="89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</row>
    <row r="125" spans="2:148" s="84" customFormat="1" ht="17.25" customHeight="1">
      <c r="B125" s="85"/>
      <c r="C125" s="100" t="s">
        <v>137</v>
      </c>
      <c r="D125" s="101"/>
      <c r="E125" s="102"/>
      <c r="F125" s="103" t="s">
        <v>138</v>
      </c>
      <c r="G125" s="102"/>
      <c r="H125" s="102"/>
      <c r="I125" s="104"/>
      <c r="J125" s="222" t="s">
        <v>139</v>
      </c>
      <c r="K125" s="223"/>
      <c r="L125" s="105" t="s">
        <v>140</v>
      </c>
      <c r="M125" s="105" t="s">
        <v>141</v>
      </c>
      <c r="N125" s="105" t="s">
        <v>142</v>
      </c>
      <c r="O125" s="86"/>
      <c r="P125" s="89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</row>
    <row r="126" spans="2:148" s="84" customFormat="1" ht="24.75" customHeight="1">
      <c r="B126" s="85"/>
      <c r="C126" s="106" t="s">
        <v>143</v>
      </c>
      <c r="D126" s="107"/>
      <c r="E126" s="108"/>
      <c r="F126" s="108"/>
      <c r="G126" s="108"/>
      <c r="H126" s="108"/>
      <c r="I126" s="107"/>
      <c r="J126" s="109"/>
      <c r="K126" s="107"/>
      <c r="L126" s="110"/>
      <c r="M126" s="110"/>
      <c r="N126" s="110"/>
      <c r="O126" s="86"/>
      <c r="P126" s="89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</row>
    <row r="127" spans="2:148" s="84" customFormat="1" ht="24.75" customHeight="1">
      <c r="B127" s="85"/>
      <c r="C127" s="106" t="s">
        <v>144</v>
      </c>
      <c r="D127" s="107"/>
      <c r="E127" s="108"/>
      <c r="F127" s="108"/>
      <c r="G127" s="108"/>
      <c r="H127" s="108"/>
      <c r="I127" s="107"/>
      <c r="J127" s="109"/>
      <c r="K127" s="107"/>
      <c r="L127" s="110"/>
      <c r="M127" s="110"/>
      <c r="N127" s="110"/>
      <c r="O127" s="86"/>
      <c r="P127" s="89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</row>
    <row r="128" spans="2:148" s="84" customFormat="1" ht="24.75" customHeight="1">
      <c r="B128" s="85"/>
      <c r="C128" s="111" t="s">
        <v>145</v>
      </c>
      <c r="D128" s="112"/>
      <c r="E128" s="113"/>
      <c r="F128" s="113"/>
      <c r="G128" s="113"/>
      <c r="H128" s="113"/>
      <c r="I128" s="112"/>
      <c r="J128" s="114"/>
      <c r="K128" s="112"/>
      <c r="L128" s="110"/>
      <c r="M128" s="110"/>
      <c r="N128" s="110"/>
      <c r="O128" s="86"/>
      <c r="P128" s="89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</row>
    <row r="129" spans="2:16" ht="12" customHeight="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7"/>
    </row>
    <row r="130" spans="2:16" ht="3.75" customHeight="1"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3"/>
    </row>
    <row r="131" spans="2:16" ht="27.75" customHeight="1">
      <c r="B131" s="64"/>
      <c r="C131" s="65"/>
      <c r="D131" s="65"/>
      <c r="E131" s="65"/>
      <c r="F131" s="65"/>
      <c r="G131" s="66"/>
      <c r="H131" s="65"/>
      <c r="I131" s="65"/>
      <c r="J131" s="65"/>
      <c r="K131" s="65"/>
      <c r="L131" s="65"/>
      <c r="M131" s="134" t="s">
        <v>122</v>
      </c>
      <c r="N131" s="238"/>
      <c r="O131" s="239"/>
      <c r="P131" s="67"/>
    </row>
    <row r="132" spans="2:148" s="68" customFormat="1" ht="34.5" customHeight="1">
      <c r="B132" s="69"/>
      <c r="C132" s="232">
        <f>IF(M3="","",IF(INDEX(участники!$A$102:$M$963,$M$3+6-100,13)="","",INDEX(участники!$A$102:$M$963,$M$3+6-100,13)))</f>
      </c>
      <c r="D132" s="233"/>
      <c r="E132" s="70"/>
      <c r="F132" s="234"/>
      <c r="G132" s="235"/>
      <c r="H132" s="65"/>
      <c r="I132" s="71"/>
      <c r="J132" s="236">
        <f>IF(M3="","",IF(INDEX(участники!$A$102:$M$963,$M$3+6-100,1)="","",INDEX(участники!$A$102:$M$963,$M$3+6-100,1)))</f>
      </c>
      <c r="K132" s="237"/>
      <c r="L132" s="71"/>
      <c r="M132" s="134" t="s">
        <v>123</v>
      </c>
      <c r="N132" s="130" t="str">
        <f>IF(M3="","",CONCATENATE(IF(INDEX(участники!$A$102:$M$963,$M$3+6-100,3)="","",INDEX(участники!$A$102:$M$963,$M$3+6-100,3)),"  ",IF(INDEX(участники!$A$102:$M$963,$M$3+6-100,3)="","",INDEX(участники!$A$104:$M$963,$M$3+6-100,3))))</f>
        <v>  </v>
      </c>
      <c r="O132" s="72"/>
      <c r="P132" s="73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</row>
    <row r="133" spans="2:148" s="75" customFormat="1" ht="15.75" customHeight="1">
      <c r="B133" s="76"/>
      <c r="C133" s="224" t="s">
        <v>124</v>
      </c>
      <c r="D133" s="224"/>
      <c r="E133" s="77"/>
      <c r="F133" s="225" t="s">
        <v>125</v>
      </c>
      <c r="G133" s="225"/>
      <c r="H133" s="78"/>
      <c r="I133" s="77"/>
      <c r="J133" s="224" t="s">
        <v>126</v>
      </c>
      <c r="K133" s="224"/>
      <c r="L133" s="79"/>
      <c r="M133" s="79"/>
      <c r="N133" s="79"/>
      <c r="O133" s="79"/>
      <c r="P133" s="80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  <c r="DK133" s="81"/>
      <c r="DL133" s="81"/>
      <c r="DM133" s="81"/>
      <c r="DN133" s="81"/>
      <c r="DO133" s="81"/>
      <c r="DP133" s="81"/>
      <c r="DQ133" s="81"/>
      <c r="DR133" s="81"/>
      <c r="DS133" s="81"/>
      <c r="DT133" s="81"/>
      <c r="DU133" s="81"/>
      <c r="DV133" s="81"/>
      <c r="DW133" s="81"/>
      <c r="DX133" s="81"/>
      <c r="DY133" s="81"/>
      <c r="DZ133" s="81"/>
      <c r="EA133" s="81"/>
      <c r="EB133" s="81"/>
      <c r="EC133" s="81"/>
      <c r="ED133" s="81"/>
      <c r="EE133" s="81"/>
      <c r="EF133" s="81"/>
      <c r="EG133" s="81"/>
      <c r="EH133" s="81"/>
      <c r="EI133" s="81"/>
      <c r="EJ133" s="81"/>
      <c r="EK133" s="81"/>
      <c r="EL133" s="81"/>
      <c r="EM133" s="81"/>
      <c r="EN133" s="81"/>
      <c r="EO133" s="81"/>
      <c r="EP133" s="81"/>
      <c r="EQ133" s="81"/>
      <c r="ER133" s="81"/>
    </row>
    <row r="134" spans="2:16" ht="40.5" customHeight="1">
      <c r="B134" s="64"/>
      <c r="C134" s="226">
        <f>IF(M3="","",IF(INDEX(участники!$A$102:$M$962,$M$3+6-100,2)="","",INDEX(участники!$A$102:$M$962,$M$3+6-100,2)))</f>
      </c>
      <c r="D134" s="226"/>
      <c r="E134" s="226"/>
      <c r="F134" s="226"/>
      <c r="G134" s="226"/>
      <c r="H134" s="226"/>
      <c r="I134" s="82"/>
      <c r="J134" s="227">
        <f>IF(M3="","",IF(INDEX(участники!$A$102:$M$962,$M$3+6-100,4)="","",INDEX(участники!$A$102:$M$962,$M$3+6-100,4)))</f>
      </c>
      <c r="K134" s="227"/>
      <c r="L134" s="83"/>
      <c r="M134" s="131">
        <f>IF(M3="","",IF(INDEX(участники!$A$102:$M$962,$M$3+6-100,5)="","",INDEX(участники!$A$102:$M$962,$M$3+6-100,5)))</f>
      </c>
      <c r="N134" s="65"/>
      <c r="O134" s="65"/>
      <c r="P134" s="67"/>
    </row>
    <row r="135" spans="2:148" s="84" customFormat="1" ht="12.75" customHeight="1">
      <c r="B135" s="85"/>
      <c r="C135" s="86" t="s">
        <v>127</v>
      </c>
      <c r="D135" s="86"/>
      <c r="E135" s="86"/>
      <c r="F135" s="86"/>
      <c r="G135" s="86"/>
      <c r="H135" s="86"/>
      <c r="I135" s="86"/>
      <c r="J135" s="228" t="s">
        <v>128</v>
      </c>
      <c r="K135" s="228"/>
      <c r="L135" s="86"/>
      <c r="M135" s="88" t="s">
        <v>129</v>
      </c>
      <c r="N135" s="86"/>
      <c r="O135" s="86"/>
      <c r="P135" s="89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</row>
    <row r="136" spans="2:148" s="91" customFormat="1" ht="35.25" customHeight="1">
      <c r="B136" s="92"/>
      <c r="C136" s="229">
        <f>IF(M3="","",IF(INDEX(участники!$A$102:$M$962,$M$3+6-100,6)="","",INDEX(участники!$A$102:$M$962,$M$3+6-100,6)))</f>
      </c>
      <c r="D136" s="220"/>
      <c r="E136" s="220"/>
      <c r="F136" s="220"/>
      <c r="G136" s="93"/>
      <c r="H136" s="216">
        <f>IF(M3="","",IF(INDEX(участники!$A$102:$M$962,$M$3+6-100,8)="","",INDEX(участники!$A$102:$M$962,$M$3+6-100,8)))</f>
      </c>
      <c r="I136" s="216"/>
      <c r="J136" s="216"/>
      <c r="K136" s="94"/>
      <c r="L136" s="221"/>
      <c r="M136" s="221"/>
      <c r="N136" s="221"/>
      <c r="O136" s="94"/>
      <c r="P136" s="95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</row>
    <row r="137" spans="2:148" s="84" customFormat="1" ht="11.25" customHeight="1">
      <c r="B137" s="85"/>
      <c r="C137" s="86" t="s">
        <v>130</v>
      </c>
      <c r="D137" s="86"/>
      <c r="E137" s="86"/>
      <c r="F137" s="86"/>
      <c r="G137" s="97"/>
      <c r="H137" s="217" t="s">
        <v>131</v>
      </c>
      <c r="I137" s="217"/>
      <c r="J137" s="217"/>
      <c r="K137" s="86"/>
      <c r="L137" s="218"/>
      <c r="M137" s="218"/>
      <c r="N137" s="218"/>
      <c r="O137" s="86"/>
      <c r="P137" s="89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</row>
    <row r="138" spans="2:148" s="91" customFormat="1" ht="24" customHeight="1">
      <c r="B138" s="92"/>
      <c r="C138" s="219">
        <f>IF(M3="","",IF(INDEX(участники!$A$102:$M$962,$M$3+6-100,7)="","",INDEX(участники!$A$102:$M$962,$M$3+6-100,7)))</f>
      </c>
      <c r="D138" s="220"/>
      <c r="E138" s="220"/>
      <c r="F138" s="220"/>
      <c r="G138" s="93"/>
      <c r="H138" s="216">
        <f>IF(M3="","",IF(INDEX(участники!$A$102:$M$962,$M$3+6-100,9)="","",INDEX(участники!$A$102:$M$962,$M$3+6-100,9)))</f>
      </c>
      <c r="I138" s="216"/>
      <c r="J138" s="216"/>
      <c r="K138" s="216"/>
      <c r="L138" s="216"/>
      <c r="M138" s="216"/>
      <c r="N138" s="216"/>
      <c r="O138" s="94"/>
      <c r="P138" s="95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</row>
    <row r="139" spans="2:148" s="84" customFormat="1" ht="9.75" customHeight="1">
      <c r="B139" s="85"/>
      <c r="C139" s="86" t="s">
        <v>132</v>
      </c>
      <c r="D139" s="86"/>
      <c r="E139" s="86"/>
      <c r="F139" s="86"/>
      <c r="G139" s="86"/>
      <c r="H139" s="217" t="s">
        <v>133</v>
      </c>
      <c r="I139" s="217"/>
      <c r="J139" s="217"/>
      <c r="K139" s="217"/>
      <c r="L139" s="217"/>
      <c r="M139" s="217"/>
      <c r="N139" s="86"/>
      <c r="O139" s="86"/>
      <c r="P139" s="89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</row>
    <row r="140" spans="2:148" s="84" customFormat="1" ht="9.75" customHeight="1"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9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</row>
    <row r="141" spans="2:16" ht="26.25" customHeight="1">
      <c r="B141" s="64"/>
      <c r="C141" s="214">
        <f>IF(M3="","",IF(INDEX(участники!$A$102:$M$962,$M$3+6-100,10)="","",INDEX(участники!$A$102:$M$962,$M$3+6-100,10)))</f>
      </c>
      <c r="D141" s="215"/>
      <c r="E141" s="215"/>
      <c r="F141" s="215"/>
      <c r="G141" s="215"/>
      <c r="H141" s="215"/>
      <c r="I141" s="215"/>
      <c r="J141" s="215"/>
      <c r="K141" s="65"/>
      <c r="L141" s="132">
        <f>IF(M3="","",IF(INDEX(участники!$A$102:$M$962,$M$3+6-100,11)="","",INDEX(участники!$A$102:$M$962,$M$3+6-100,11)))</f>
      </c>
      <c r="M141" s="98"/>
      <c r="N141" s="132">
        <f>IF(M3="","",IF(INDEX(участники!$A$102:$M$962,$M$3+6-100,12)="","",INDEX(участники!$A$102:$M$962,$M$3+6-100,12)))</f>
      </c>
      <c r="O141" s="65"/>
      <c r="P141" s="67"/>
    </row>
    <row r="142" spans="2:148" s="84" customFormat="1" ht="14.25" customHeight="1">
      <c r="B142" s="85"/>
      <c r="C142" s="86" t="s">
        <v>134</v>
      </c>
      <c r="D142" s="86"/>
      <c r="E142" s="86"/>
      <c r="F142" s="86"/>
      <c r="G142" s="86"/>
      <c r="H142" s="86"/>
      <c r="I142" s="86"/>
      <c r="J142" s="218"/>
      <c r="K142" s="218"/>
      <c r="L142" s="87" t="s">
        <v>135</v>
      </c>
      <c r="M142" s="99"/>
      <c r="N142" s="133" t="s">
        <v>136</v>
      </c>
      <c r="O142" s="86"/>
      <c r="P142" s="89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90"/>
      <c r="EF142" s="90"/>
      <c r="EG142" s="90"/>
      <c r="EH142" s="90"/>
      <c r="EI142" s="90"/>
      <c r="EJ142" s="90"/>
      <c r="EK142" s="90"/>
      <c r="EL142" s="90"/>
      <c r="EM142" s="90"/>
      <c r="EN142" s="90"/>
      <c r="EO142" s="90"/>
      <c r="EP142" s="90"/>
      <c r="EQ142" s="90"/>
      <c r="ER142" s="90"/>
    </row>
    <row r="143" spans="2:148" s="84" customFormat="1" ht="24.75" customHeight="1">
      <c r="B143" s="85"/>
      <c r="C143" s="86"/>
      <c r="D143" s="86"/>
      <c r="E143" s="86"/>
      <c r="F143" s="86"/>
      <c r="G143" s="86"/>
      <c r="H143" s="86"/>
      <c r="I143" s="86"/>
      <c r="J143" s="88"/>
      <c r="K143" s="88"/>
      <c r="L143" s="86"/>
      <c r="M143" s="88"/>
      <c r="N143" s="88"/>
      <c r="O143" s="86"/>
      <c r="P143" s="89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90"/>
      <c r="EF143" s="90"/>
      <c r="EG143" s="90"/>
      <c r="EH143" s="90"/>
      <c r="EI143" s="90"/>
      <c r="EJ143" s="90"/>
      <c r="EK143" s="90"/>
      <c r="EL143" s="90"/>
      <c r="EM143" s="90"/>
      <c r="EN143" s="90"/>
      <c r="EO143" s="90"/>
      <c r="EP143" s="90"/>
      <c r="EQ143" s="90"/>
      <c r="ER143" s="90"/>
    </row>
    <row r="144" spans="2:148" s="84" customFormat="1" ht="17.25" customHeight="1">
      <c r="B144" s="85"/>
      <c r="C144" s="100" t="s">
        <v>137</v>
      </c>
      <c r="D144" s="101"/>
      <c r="E144" s="102"/>
      <c r="F144" s="103" t="s">
        <v>138</v>
      </c>
      <c r="G144" s="102"/>
      <c r="H144" s="102"/>
      <c r="I144" s="104"/>
      <c r="J144" s="222" t="s">
        <v>139</v>
      </c>
      <c r="K144" s="223"/>
      <c r="L144" s="105" t="s">
        <v>140</v>
      </c>
      <c r="M144" s="105" t="s">
        <v>141</v>
      </c>
      <c r="N144" s="105" t="s">
        <v>142</v>
      </c>
      <c r="O144" s="86"/>
      <c r="P144" s="89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</row>
    <row r="145" spans="2:148" s="84" customFormat="1" ht="24.75" customHeight="1">
      <c r="B145" s="85"/>
      <c r="C145" s="106" t="s">
        <v>143</v>
      </c>
      <c r="D145" s="107"/>
      <c r="E145" s="108"/>
      <c r="F145" s="108"/>
      <c r="G145" s="108"/>
      <c r="H145" s="108"/>
      <c r="I145" s="107"/>
      <c r="J145" s="109"/>
      <c r="K145" s="107"/>
      <c r="L145" s="110"/>
      <c r="M145" s="110"/>
      <c r="N145" s="110"/>
      <c r="O145" s="86"/>
      <c r="P145" s="89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90"/>
      <c r="EF145" s="90"/>
      <c r="EG145" s="90"/>
      <c r="EH145" s="90"/>
      <c r="EI145" s="90"/>
      <c r="EJ145" s="90"/>
      <c r="EK145" s="90"/>
      <c r="EL145" s="90"/>
      <c r="EM145" s="90"/>
      <c r="EN145" s="90"/>
      <c r="EO145" s="90"/>
      <c r="EP145" s="90"/>
      <c r="EQ145" s="90"/>
      <c r="ER145" s="90"/>
    </row>
    <row r="146" spans="2:148" s="84" customFormat="1" ht="24.75" customHeight="1">
      <c r="B146" s="85"/>
      <c r="C146" s="106" t="s">
        <v>144</v>
      </c>
      <c r="D146" s="107"/>
      <c r="E146" s="108"/>
      <c r="F146" s="108"/>
      <c r="G146" s="108"/>
      <c r="H146" s="108"/>
      <c r="I146" s="107"/>
      <c r="J146" s="109"/>
      <c r="K146" s="107"/>
      <c r="L146" s="110"/>
      <c r="M146" s="110"/>
      <c r="N146" s="110"/>
      <c r="O146" s="86"/>
      <c r="P146" s="89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</row>
    <row r="147" spans="2:148" s="84" customFormat="1" ht="24.75" customHeight="1">
      <c r="B147" s="85"/>
      <c r="C147" s="111" t="s">
        <v>145</v>
      </c>
      <c r="D147" s="112"/>
      <c r="E147" s="113"/>
      <c r="F147" s="113"/>
      <c r="G147" s="113"/>
      <c r="H147" s="113"/>
      <c r="I147" s="112"/>
      <c r="J147" s="114"/>
      <c r="K147" s="112"/>
      <c r="L147" s="110"/>
      <c r="M147" s="110"/>
      <c r="N147" s="110"/>
      <c r="O147" s="86"/>
      <c r="P147" s="89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90"/>
      <c r="EF147" s="90"/>
      <c r="EG147" s="90"/>
      <c r="EH147" s="90"/>
      <c r="EI147" s="90"/>
      <c r="EJ147" s="90"/>
      <c r="EK147" s="90"/>
      <c r="EL147" s="90"/>
      <c r="EM147" s="90"/>
      <c r="EN147" s="90"/>
      <c r="EO147" s="90"/>
      <c r="EP147" s="90"/>
      <c r="EQ147" s="90"/>
      <c r="ER147" s="90"/>
    </row>
    <row r="148" spans="2:16" ht="12" customHeight="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7"/>
    </row>
    <row r="150" ht="18.75" customHeight="1"/>
    <row r="152" spans="2:16" ht="3.75" customHeight="1"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3"/>
    </row>
    <row r="153" spans="2:16" ht="27.75" customHeight="1">
      <c r="B153" s="64"/>
      <c r="C153" s="65"/>
      <c r="D153" s="65"/>
      <c r="E153" s="65"/>
      <c r="F153" s="65"/>
      <c r="G153" s="66"/>
      <c r="H153" s="65"/>
      <c r="I153" s="65"/>
      <c r="J153" s="65"/>
      <c r="K153" s="65"/>
      <c r="L153" s="65"/>
      <c r="M153" s="134" t="s">
        <v>122</v>
      </c>
      <c r="N153" s="230"/>
      <c r="O153" s="231"/>
      <c r="P153" s="67"/>
    </row>
    <row r="154" spans="2:148" s="68" customFormat="1" ht="34.5" customHeight="1">
      <c r="B154" s="69"/>
      <c r="C154" s="232">
        <f>IF(M3="","",IF(INDEX(участники!$A$102:$M$963,$M$3+7-100,13)="","",INDEX(участники!$A$102:$M$963,$M$3+7-100,13)))</f>
      </c>
      <c r="D154" s="233"/>
      <c r="E154" s="70"/>
      <c r="F154" s="234"/>
      <c r="G154" s="235"/>
      <c r="H154" s="65"/>
      <c r="I154" s="71"/>
      <c r="J154" s="236">
        <f>IF(M3="","",IF(INDEX(участники!$A$102:$M$963,$M$3+7-100,1)="","",INDEX(участники!$A$102:$M$963,$M$3+7-100,1)))</f>
      </c>
      <c r="K154" s="237"/>
      <c r="L154" s="71"/>
      <c r="M154" s="134" t="s">
        <v>123</v>
      </c>
      <c r="N154" s="130" t="str">
        <f>IF(M3="","",CONCATENATE(IF(INDEX(участники!$A$102:$M$963,$M$3+7-100,3)="","",INDEX(участники!$A$102:$M$963,$M$3+7-100,3)),"  ",IF(INDEX(участники!$A$102:$M$963,$M$3+7-100,3)="","",INDEX(участники!$A$104:$M$963,$M$3+7-100,3))))</f>
        <v>  </v>
      </c>
      <c r="O154" s="72"/>
      <c r="P154" s="73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</row>
    <row r="155" spans="2:148" s="75" customFormat="1" ht="15.75" customHeight="1">
      <c r="B155" s="76"/>
      <c r="C155" s="224" t="s">
        <v>124</v>
      </c>
      <c r="D155" s="224"/>
      <c r="E155" s="77"/>
      <c r="F155" s="225" t="s">
        <v>125</v>
      </c>
      <c r="G155" s="225"/>
      <c r="H155" s="78"/>
      <c r="I155" s="77"/>
      <c r="J155" s="224" t="s">
        <v>126</v>
      </c>
      <c r="K155" s="224"/>
      <c r="L155" s="79"/>
      <c r="M155" s="79"/>
      <c r="N155" s="79"/>
      <c r="O155" s="79"/>
      <c r="P155" s="80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  <c r="DZ155" s="81"/>
      <c r="EA155" s="81"/>
      <c r="EB155" s="81"/>
      <c r="EC155" s="81"/>
      <c r="ED155" s="81"/>
      <c r="EE155" s="81"/>
      <c r="EF155" s="81"/>
      <c r="EG155" s="81"/>
      <c r="EH155" s="81"/>
      <c r="EI155" s="81"/>
      <c r="EJ155" s="81"/>
      <c r="EK155" s="81"/>
      <c r="EL155" s="81"/>
      <c r="EM155" s="81"/>
      <c r="EN155" s="81"/>
      <c r="EO155" s="81"/>
      <c r="EP155" s="81"/>
      <c r="EQ155" s="81"/>
      <c r="ER155" s="81"/>
    </row>
    <row r="156" spans="2:16" ht="40.5" customHeight="1">
      <c r="B156" s="64"/>
      <c r="C156" s="226">
        <f>IF(M3="","",IF(INDEX(участники!$A$102:$M$962,$M$3+7-100,2)="","",INDEX(участники!$A$102:$M$962,$M$3+7-100,2)))</f>
      </c>
      <c r="D156" s="226"/>
      <c r="E156" s="226"/>
      <c r="F156" s="226"/>
      <c r="G156" s="226"/>
      <c r="H156" s="226"/>
      <c r="I156" s="82"/>
      <c r="J156" s="227">
        <f>IF(M3="","",IF(INDEX(участники!$A$102:$M$962,$M$3+7-100,4)="","",INDEX(участники!$A$102:$M$962,$M$3+7-100,4)))</f>
      </c>
      <c r="K156" s="227"/>
      <c r="L156" s="83"/>
      <c r="M156" s="131">
        <f>IF(M3="","",IF(INDEX(участники!$A$102:$M$962,$M$3+7-100,5)="","",INDEX(участники!$A$102:$M$962,$M$3+7-100,5)))</f>
      </c>
      <c r="N156" s="65"/>
      <c r="O156" s="65"/>
      <c r="P156" s="67"/>
    </row>
    <row r="157" spans="2:148" s="84" customFormat="1" ht="12.75" customHeight="1">
      <c r="B157" s="85"/>
      <c r="C157" s="86" t="s">
        <v>127</v>
      </c>
      <c r="D157" s="86"/>
      <c r="E157" s="86"/>
      <c r="F157" s="86"/>
      <c r="G157" s="86"/>
      <c r="H157" s="86"/>
      <c r="I157" s="86"/>
      <c r="J157" s="228" t="s">
        <v>128</v>
      </c>
      <c r="K157" s="228"/>
      <c r="L157" s="86"/>
      <c r="M157" s="88" t="s">
        <v>129</v>
      </c>
      <c r="N157" s="86"/>
      <c r="O157" s="86"/>
      <c r="P157" s="89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90"/>
      <c r="EF157" s="90"/>
      <c r="EG157" s="90"/>
      <c r="EH157" s="90"/>
      <c r="EI157" s="90"/>
      <c r="EJ157" s="90"/>
      <c r="EK157" s="90"/>
      <c r="EL157" s="90"/>
      <c r="EM157" s="90"/>
      <c r="EN157" s="90"/>
      <c r="EO157" s="90"/>
      <c r="EP157" s="90"/>
      <c r="EQ157" s="90"/>
      <c r="ER157" s="90"/>
    </row>
    <row r="158" spans="2:148" s="91" customFormat="1" ht="35.25" customHeight="1">
      <c r="B158" s="92"/>
      <c r="C158" s="229">
        <f>IF(M3="","",IF(INDEX(участники!$A$102:$M$962,$M$3+7-100,6)="","",INDEX(участники!$A$102:$M$962,$M$3+7-100,6)))</f>
      </c>
      <c r="D158" s="220"/>
      <c r="E158" s="220"/>
      <c r="F158" s="220"/>
      <c r="G158" s="93"/>
      <c r="H158" s="216">
        <f>IF(M3="","",IF(INDEX(участники!$A$102:$M$962,$M$3+7-100,8)="","",INDEX(участники!$A$102:$M$962,$M$3+7-100,8)))</f>
      </c>
      <c r="I158" s="216"/>
      <c r="J158" s="216"/>
      <c r="K158" s="94"/>
      <c r="L158" s="221"/>
      <c r="M158" s="221"/>
      <c r="N158" s="221"/>
      <c r="O158" s="94"/>
      <c r="P158" s="95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</row>
    <row r="159" spans="2:148" s="84" customFormat="1" ht="11.25" customHeight="1">
      <c r="B159" s="85"/>
      <c r="C159" s="86" t="s">
        <v>130</v>
      </c>
      <c r="D159" s="86"/>
      <c r="E159" s="86"/>
      <c r="F159" s="86"/>
      <c r="G159" s="97"/>
      <c r="H159" s="217" t="s">
        <v>131</v>
      </c>
      <c r="I159" s="217"/>
      <c r="J159" s="217"/>
      <c r="K159" s="86"/>
      <c r="L159" s="218"/>
      <c r="M159" s="218"/>
      <c r="N159" s="218"/>
      <c r="O159" s="86"/>
      <c r="P159" s="89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 s="90"/>
      <c r="EP159" s="90"/>
      <c r="EQ159" s="90"/>
      <c r="ER159" s="90"/>
    </row>
    <row r="160" spans="2:148" s="91" customFormat="1" ht="24" customHeight="1">
      <c r="B160" s="92"/>
      <c r="C160" s="219">
        <f>IF(M3="","",IF(INDEX(участники!$A$102:$M$962,$M$3+7-100,7)="","",INDEX(участники!$A$102:$M$962,$M$3+7-100,7)))</f>
      </c>
      <c r="D160" s="220"/>
      <c r="E160" s="220"/>
      <c r="F160" s="220"/>
      <c r="G160" s="93"/>
      <c r="H160" s="216">
        <f>IF(M3="","",IF(INDEX(участники!$A$102:$M$962,$M$3+7-100,9)="","",INDEX(участники!$A$102:$M$962,$M$3+7-100,9)))</f>
      </c>
      <c r="I160" s="216"/>
      <c r="J160" s="216"/>
      <c r="K160" s="216"/>
      <c r="L160" s="216"/>
      <c r="M160" s="216"/>
      <c r="N160" s="216"/>
      <c r="O160" s="94"/>
      <c r="P160" s="95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</row>
    <row r="161" spans="2:148" s="84" customFormat="1" ht="9.75" customHeight="1">
      <c r="B161" s="85"/>
      <c r="C161" s="86" t="s">
        <v>132</v>
      </c>
      <c r="D161" s="86"/>
      <c r="E161" s="86"/>
      <c r="F161" s="86"/>
      <c r="G161" s="86"/>
      <c r="H161" s="217" t="s">
        <v>133</v>
      </c>
      <c r="I161" s="217"/>
      <c r="J161" s="217"/>
      <c r="K161" s="217"/>
      <c r="L161" s="217"/>
      <c r="M161" s="217"/>
      <c r="N161" s="86"/>
      <c r="O161" s="86"/>
      <c r="P161" s="89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</row>
    <row r="162" spans="2:148" s="84" customFormat="1" ht="9.75" customHeight="1"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9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</row>
    <row r="163" spans="2:16" ht="26.25" customHeight="1">
      <c r="B163" s="64"/>
      <c r="C163" s="214">
        <f>IF(M3="","",IF(INDEX(участники!$A$102:$M$962,$M$3+7-100,10)="","",INDEX(участники!$A$102:$M$962,$M$3+7-100,10)))</f>
      </c>
      <c r="D163" s="215"/>
      <c r="E163" s="215"/>
      <c r="F163" s="215"/>
      <c r="G163" s="215"/>
      <c r="H163" s="215"/>
      <c r="I163" s="215"/>
      <c r="J163" s="215"/>
      <c r="K163" s="65"/>
      <c r="L163" s="132">
        <f>IF(M3="","",IF(INDEX(участники!$A$102:$M$962,$M$3+7-100,11)="","",INDEX(участники!$A$102:$M$962,$M$3+7-100,11)))</f>
      </c>
      <c r="M163" s="98"/>
      <c r="N163" s="132">
        <f>IF(M3="","",IF(INDEX(участники!$A$102:$M$962,$M$3+7-100,12)="","",INDEX(участники!$A$102:$M$962,$M$3+7-100,12)))</f>
      </c>
      <c r="O163" s="65"/>
      <c r="P163" s="67"/>
    </row>
    <row r="164" spans="2:148" s="84" customFormat="1" ht="14.25" customHeight="1">
      <c r="B164" s="85"/>
      <c r="C164" s="86" t="s">
        <v>134</v>
      </c>
      <c r="D164" s="86"/>
      <c r="E164" s="86"/>
      <c r="F164" s="86"/>
      <c r="G164" s="86"/>
      <c r="H164" s="86"/>
      <c r="I164" s="86"/>
      <c r="J164" s="218"/>
      <c r="K164" s="218"/>
      <c r="L164" s="87" t="s">
        <v>135</v>
      </c>
      <c r="M164" s="99"/>
      <c r="N164" s="133" t="s">
        <v>136</v>
      </c>
      <c r="O164" s="86"/>
      <c r="P164" s="89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/>
      <c r="EL164" s="90"/>
      <c r="EM164" s="90"/>
      <c r="EN164" s="90"/>
      <c r="EO164" s="90"/>
      <c r="EP164" s="90"/>
      <c r="EQ164" s="90"/>
      <c r="ER164" s="90"/>
    </row>
    <row r="165" spans="2:148" s="84" customFormat="1" ht="24.75" customHeight="1">
      <c r="B165" s="85"/>
      <c r="C165" s="86"/>
      <c r="D165" s="86"/>
      <c r="E165" s="86"/>
      <c r="F165" s="86"/>
      <c r="G165" s="86"/>
      <c r="H165" s="86"/>
      <c r="I165" s="86"/>
      <c r="J165" s="88"/>
      <c r="K165" s="88"/>
      <c r="L165" s="86"/>
      <c r="M165" s="88"/>
      <c r="N165" s="88"/>
      <c r="O165" s="86"/>
      <c r="P165" s="89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90"/>
      <c r="EF165" s="90"/>
      <c r="EG165" s="90"/>
      <c r="EH165" s="90"/>
      <c r="EI165" s="90"/>
      <c r="EJ165" s="90"/>
      <c r="EK165" s="90"/>
      <c r="EL165" s="90"/>
      <c r="EM165" s="90"/>
      <c r="EN165" s="90"/>
      <c r="EO165" s="90"/>
      <c r="EP165" s="90"/>
      <c r="EQ165" s="90"/>
      <c r="ER165" s="90"/>
    </row>
    <row r="166" spans="2:148" s="84" customFormat="1" ht="17.25" customHeight="1">
      <c r="B166" s="85"/>
      <c r="C166" s="100" t="s">
        <v>137</v>
      </c>
      <c r="D166" s="101"/>
      <c r="E166" s="102"/>
      <c r="F166" s="103" t="s">
        <v>138</v>
      </c>
      <c r="G166" s="102"/>
      <c r="H166" s="102"/>
      <c r="I166" s="104"/>
      <c r="J166" s="222" t="s">
        <v>139</v>
      </c>
      <c r="K166" s="223"/>
      <c r="L166" s="105" t="s">
        <v>140</v>
      </c>
      <c r="M166" s="105" t="s">
        <v>141</v>
      </c>
      <c r="N166" s="105" t="s">
        <v>142</v>
      </c>
      <c r="O166" s="86"/>
      <c r="P166" s="89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</row>
    <row r="167" spans="2:148" s="84" customFormat="1" ht="24.75" customHeight="1">
      <c r="B167" s="85"/>
      <c r="C167" s="106" t="s">
        <v>143</v>
      </c>
      <c r="D167" s="107"/>
      <c r="E167" s="108"/>
      <c r="F167" s="108"/>
      <c r="G167" s="108"/>
      <c r="H167" s="108"/>
      <c r="I167" s="107"/>
      <c r="J167" s="109"/>
      <c r="K167" s="107"/>
      <c r="L167" s="110"/>
      <c r="M167" s="110"/>
      <c r="N167" s="110"/>
      <c r="O167" s="86"/>
      <c r="P167" s="89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</row>
    <row r="168" spans="2:148" s="84" customFormat="1" ht="24.75" customHeight="1">
      <c r="B168" s="85"/>
      <c r="C168" s="106" t="s">
        <v>144</v>
      </c>
      <c r="D168" s="107"/>
      <c r="E168" s="108"/>
      <c r="F168" s="108"/>
      <c r="G168" s="108"/>
      <c r="H168" s="108"/>
      <c r="I168" s="107"/>
      <c r="J168" s="109"/>
      <c r="K168" s="107"/>
      <c r="L168" s="110"/>
      <c r="M168" s="110"/>
      <c r="N168" s="110"/>
      <c r="O168" s="86"/>
      <c r="P168" s="89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90"/>
      <c r="EF168" s="90"/>
      <c r="EG168" s="90"/>
      <c r="EH168" s="90"/>
      <c r="EI168" s="90"/>
      <c r="EJ168" s="90"/>
      <c r="EK168" s="90"/>
      <c r="EL168" s="90"/>
      <c r="EM168" s="90"/>
      <c r="EN168" s="90"/>
      <c r="EO168" s="90"/>
      <c r="EP168" s="90"/>
      <c r="EQ168" s="90"/>
      <c r="ER168" s="90"/>
    </row>
    <row r="169" spans="2:148" s="84" customFormat="1" ht="24.75" customHeight="1">
      <c r="B169" s="85"/>
      <c r="C169" s="111" t="s">
        <v>145</v>
      </c>
      <c r="D169" s="112"/>
      <c r="E169" s="113"/>
      <c r="F169" s="113"/>
      <c r="G169" s="113"/>
      <c r="H169" s="113"/>
      <c r="I169" s="112"/>
      <c r="J169" s="114"/>
      <c r="K169" s="112"/>
      <c r="L169" s="110"/>
      <c r="M169" s="110"/>
      <c r="N169" s="110"/>
      <c r="O169" s="86"/>
      <c r="P169" s="89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</row>
    <row r="170" spans="2:16" ht="12" customHeight="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7"/>
    </row>
    <row r="171" spans="2:16" ht="3.75" customHeight="1"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3"/>
    </row>
    <row r="172" spans="2:16" ht="27.75" customHeight="1">
      <c r="B172" s="64"/>
      <c r="C172" s="65"/>
      <c r="D172" s="65"/>
      <c r="E172" s="65"/>
      <c r="F172" s="65"/>
      <c r="G172" s="66"/>
      <c r="H172" s="65"/>
      <c r="I172" s="65"/>
      <c r="J172" s="65"/>
      <c r="K172" s="65"/>
      <c r="L172" s="65"/>
      <c r="M172" s="134" t="s">
        <v>122</v>
      </c>
      <c r="N172" s="240"/>
      <c r="O172" s="241"/>
      <c r="P172" s="67"/>
    </row>
    <row r="173" spans="2:148" s="68" customFormat="1" ht="34.5" customHeight="1">
      <c r="B173" s="69"/>
      <c r="C173" s="232">
        <f>IF(M3="","",IF(INDEX(участники!$A$102:$M$963,$M$3+8-100,13)="","",INDEX(участники!$A$102:$M$963,$M$3+8-100,13)))</f>
      </c>
      <c r="D173" s="233"/>
      <c r="E173" s="70"/>
      <c r="F173" s="234"/>
      <c r="G173" s="235"/>
      <c r="H173" s="65"/>
      <c r="I173" s="71"/>
      <c r="J173" s="236">
        <f>IF(M3="","",IF(INDEX(участники!$A$102:$M$963,$M$3+8-100,1)="","",INDEX(участники!$A$102:$M$963,$M$3+8-100,1)))</f>
      </c>
      <c r="K173" s="237"/>
      <c r="L173" s="71"/>
      <c r="M173" s="134" t="s">
        <v>123</v>
      </c>
      <c r="N173" s="135" t="str">
        <f>IF(M3="","",CONCATENATE(IF(INDEX(участники!$A$102:$M$963,$M$3+8-100,3)="","",INDEX(участники!$A$102:$M$963,$M$3+8-100,3)),"  ",IF(INDEX(участники!$A$102:$M$963,$M$3+8-100,3)="","",INDEX(участники!$A$104:$M$963,$M$3+8-100,3))))</f>
        <v>  </v>
      </c>
      <c r="O173" s="72"/>
      <c r="P173" s="73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</row>
    <row r="174" spans="2:148" s="75" customFormat="1" ht="15.75" customHeight="1">
      <c r="B174" s="76"/>
      <c r="C174" s="224" t="s">
        <v>124</v>
      </c>
      <c r="D174" s="224"/>
      <c r="E174" s="77"/>
      <c r="F174" s="225" t="s">
        <v>125</v>
      </c>
      <c r="G174" s="225"/>
      <c r="H174" s="78"/>
      <c r="I174" s="77"/>
      <c r="J174" s="224" t="s">
        <v>126</v>
      </c>
      <c r="K174" s="224"/>
      <c r="L174" s="79"/>
      <c r="M174" s="79"/>
      <c r="N174" s="79"/>
      <c r="O174" s="79"/>
      <c r="P174" s="80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</row>
    <row r="175" spans="2:16" ht="40.5" customHeight="1">
      <c r="B175" s="64"/>
      <c r="C175" s="226">
        <f>IF(M3="","",IF(INDEX(участники!$A$102:$M$962,$M$3+8-100,2)="","",INDEX(участники!$A$102:$M$962,$M$3+8-100,2)))</f>
      </c>
      <c r="D175" s="226"/>
      <c r="E175" s="226"/>
      <c r="F175" s="226"/>
      <c r="G175" s="226"/>
      <c r="H175" s="226"/>
      <c r="I175" s="82"/>
      <c r="J175" s="227">
        <f>IF(M3="","",IF(INDEX(участники!$A$102:$M$962,$M$3+8-100,4)="","",INDEX(участники!$A$102:$M$962,$M$3+8-100,4)))</f>
      </c>
      <c r="K175" s="227"/>
      <c r="L175" s="83"/>
      <c r="M175" s="131">
        <f>IF(M3="","",IF(INDEX(участники!$A$102:$M$962,$M$3+8-100,5)="","",INDEX(участники!$A$102:$M$962,$M$3+8-100,5)))</f>
      </c>
      <c r="N175" s="65"/>
      <c r="O175" s="65"/>
      <c r="P175" s="67"/>
    </row>
    <row r="176" spans="2:148" s="84" customFormat="1" ht="12.75" customHeight="1">
      <c r="B176" s="85"/>
      <c r="C176" s="86" t="s">
        <v>127</v>
      </c>
      <c r="D176" s="86"/>
      <c r="E176" s="86"/>
      <c r="F176" s="86"/>
      <c r="G176" s="86"/>
      <c r="H176" s="86"/>
      <c r="I176" s="86"/>
      <c r="J176" s="228" t="s">
        <v>128</v>
      </c>
      <c r="K176" s="228"/>
      <c r="L176" s="86"/>
      <c r="M176" s="88" t="s">
        <v>129</v>
      </c>
      <c r="N176" s="86"/>
      <c r="O176" s="86"/>
      <c r="P176" s="89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</row>
    <row r="177" spans="2:148" s="91" customFormat="1" ht="35.25" customHeight="1">
      <c r="B177" s="92"/>
      <c r="C177" s="229">
        <f>IF(M3="","",IF(INDEX(участники!$A$102:$M$962,$M$3+8-100,6)="","",INDEX(участники!$A$102:$M$962,$M$3+8-100,6)))</f>
      </c>
      <c r="D177" s="220"/>
      <c r="E177" s="220"/>
      <c r="F177" s="220"/>
      <c r="G177" s="93"/>
      <c r="H177" s="216">
        <f>IF(M3="","",IF(INDEX(участники!$A$102:$M$962,$M$3+8-100,8)="","",INDEX(участники!$A$102:$M$962,$M$3+8-100,8)))</f>
      </c>
      <c r="I177" s="216"/>
      <c r="J177" s="216"/>
      <c r="K177" s="94"/>
      <c r="L177" s="221"/>
      <c r="M177" s="221"/>
      <c r="N177" s="221"/>
      <c r="O177" s="94"/>
      <c r="P177" s="95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</row>
    <row r="178" spans="2:148" s="84" customFormat="1" ht="11.25" customHeight="1">
      <c r="B178" s="85"/>
      <c r="C178" s="86" t="s">
        <v>130</v>
      </c>
      <c r="D178" s="86"/>
      <c r="E178" s="86"/>
      <c r="F178" s="86"/>
      <c r="G178" s="97"/>
      <c r="H178" s="217" t="s">
        <v>131</v>
      </c>
      <c r="I178" s="217"/>
      <c r="J178" s="217"/>
      <c r="K178" s="86"/>
      <c r="L178" s="218"/>
      <c r="M178" s="218"/>
      <c r="N178" s="218"/>
      <c r="O178" s="86"/>
      <c r="P178" s="89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</row>
    <row r="179" spans="2:148" s="91" customFormat="1" ht="24" customHeight="1">
      <c r="B179" s="92"/>
      <c r="C179" s="219">
        <f>IF(M3="","",IF(INDEX(участники!$A$102:$M$962,$M$3+8-100,7)="","",INDEX(участники!$A$102:$M$962,$M$3+8-100,7)))</f>
      </c>
      <c r="D179" s="220"/>
      <c r="E179" s="220"/>
      <c r="F179" s="220"/>
      <c r="G179" s="93"/>
      <c r="H179" s="216">
        <f>IF(M3="","",IF(INDEX(участники!$A$102:$M$962,$M$3+8-100,9)="","",INDEX(участники!$A$102:$M$962,$M$3+8-100,9)))</f>
      </c>
      <c r="I179" s="216"/>
      <c r="J179" s="216"/>
      <c r="K179" s="216"/>
      <c r="L179" s="216"/>
      <c r="M179" s="216"/>
      <c r="N179" s="216"/>
      <c r="O179" s="94"/>
      <c r="P179" s="95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</row>
    <row r="180" spans="2:148" s="84" customFormat="1" ht="9.75" customHeight="1">
      <c r="B180" s="85"/>
      <c r="C180" s="86" t="s">
        <v>132</v>
      </c>
      <c r="D180" s="86"/>
      <c r="E180" s="86"/>
      <c r="F180" s="86"/>
      <c r="G180" s="86"/>
      <c r="H180" s="217" t="s">
        <v>133</v>
      </c>
      <c r="I180" s="217"/>
      <c r="J180" s="217"/>
      <c r="K180" s="217"/>
      <c r="L180" s="217"/>
      <c r="M180" s="217"/>
      <c r="N180" s="86"/>
      <c r="O180" s="86"/>
      <c r="P180" s="89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</row>
    <row r="181" spans="2:148" s="84" customFormat="1" ht="9.75" customHeight="1">
      <c r="B181" s="85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9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90"/>
      <c r="EL181" s="90"/>
      <c r="EM181" s="90"/>
      <c r="EN181" s="90"/>
      <c r="EO181" s="90"/>
      <c r="EP181" s="90"/>
      <c r="EQ181" s="90"/>
      <c r="ER181" s="90"/>
    </row>
    <row r="182" spans="2:16" ht="26.25" customHeight="1">
      <c r="B182" s="64"/>
      <c r="C182" s="214">
        <f>IF(M3="","",IF(INDEX(участники!$A$102:$M$962,$M$3+8-100,10)="","",INDEX(участники!$A$102:$M$962,$M$3+8-100,10)))</f>
      </c>
      <c r="D182" s="215"/>
      <c r="E182" s="215"/>
      <c r="F182" s="215"/>
      <c r="G182" s="215"/>
      <c r="H182" s="215"/>
      <c r="I182" s="215"/>
      <c r="J182" s="215"/>
      <c r="K182" s="65"/>
      <c r="L182" s="132">
        <f>IF(M3="","",IF(INDEX(участники!$A$102:$M$962,$M$3+8-100,11)="","",INDEX(участники!$A$102:$M$962,$M$3+8-100,11)))</f>
      </c>
      <c r="M182" s="98"/>
      <c r="N182" s="132">
        <f>IF(M3="","",IF(INDEX(участники!$A$102:$M$962,$M$3+8-100,12)="","",INDEX(участники!$A$102:$M$962,$M$3+8-100,12)))</f>
      </c>
      <c r="O182" s="65"/>
      <c r="P182" s="67"/>
    </row>
    <row r="183" spans="2:148" s="84" customFormat="1" ht="14.25" customHeight="1">
      <c r="B183" s="85"/>
      <c r="C183" s="86" t="s">
        <v>134</v>
      </c>
      <c r="D183" s="86"/>
      <c r="E183" s="86"/>
      <c r="F183" s="86"/>
      <c r="G183" s="86"/>
      <c r="H183" s="86"/>
      <c r="I183" s="86"/>
      <c r="J183" s="218"/>
      <c r="K183" s="218"/>
      <c r="L183" s="87" t="s">
        <v>135</v>
      </c>
      <c r="M183" s="99"/>
      <c r="N183" s="133" t="s">
        <v>136</v>
      </c>
      <c r="O183" s="86"/>
      <c r="P183" s="89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90"/>
      <c r="EF183" s="90"/>
      <c r="EG183" s="90"/>
      <c r="EH183" s="90"/>
      <c r="EI183" s="90"/>
      <c r="EJ183" s="90"/>
      <c r="EK183" s="90"/>
      <c r="EL183" s="90"/>
      <c r="EM183" s="90"/>
      <c r="EN183" s="90"/>
      <c r="EO183" s="90"/>
      <c r="EP183" s="90"/>
      <c r="EQ183" s="90"/>
      <c r="ER183" s="90"/>
    </row>
    <row r="184" spans="2:148" s="84" customFormat="1" ht="24.75" customHeight="1">
      <c r="B184" s="85"/>
      <c r="C184" s="86"/>
      <c r="D184" s="86"/>
      <c r="E184" s="86"/>
      <c r="F184" s="86"/>
      <c r="G184" s="86"/>
      <c r="H184" s="86"/>
      <c r="I184" s="86"/>
      <c r="J184" s="88"/>
      <c r="K184" s="88"/>
      <c r="L184" s="86"/>
      <c r="M184" s="88"/>
      <c r="N184" s="88"/>
      <c r="O184" s="86"/>
      <c r="P184" s="89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90"/>
      <c r="EF184" s="90"/>
      <c r="EG184" s="90"/>
      <c r="EH184" s="90"/>
      <c r="EI184" s="90"/>
      <c r="EJ184" s="90"/>
      <c r="EK184" s="90"/>
      <c r="EL184" s="90"/>
      <c r="EM184" s="90"/>
      <c r="EN184" s="90"/>
      <c r="EO184" s="90"/>
      <c r="EP184" s="90"/>
      <c r="EQ184" s="90"/>
      <c r="ER184" s="90"/>
    </row>
    <row r="185" spans="2:148" s="84" customFormat="1" ht="17.25" customHeight="1">
      <c r="B185" s="85"/>
      <c r="C185" s="100" t="s">
        <v>137</v>
      </c>
      <c r="D185" s="101"/>
      <c r="E185" s="102"/>
      <c r="F185" s="103" t="s">
        <v>138</v>
      </c>
      <c r="G185" s="102"/>
      <c r="H185" s="102"/>
      <c r="I185" s="104"/>
      <c r="J185" s="222" t="s">
        <v>139</v>
      </c>
      <c r="K185" s="223"/>
      <c r="L185" s="105" t="s">
        <v>140</v>
      </c>
      <c r="M185" s="105" t="s">
        <v>141</v>
      </c>
      <c r="N185" s="105" t="s">
        <v>142</v>
      </c>
      <c r="O185" s="86"/>
      <c r="P185" s="89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  <c r="CM185" s="90"/>
      <c r="CN185" s="90"/>
      <c r="CO185" s="90"/>
      <c r="CP185" s="90"/>
      <c r="CQ185" s="90"/>
      <c r="CR185" s="90"/>
      <c r="CS185" s="90"/>
      <c r="CT185" s="90"/>
      <c r="CU185" s="90"/>
      <c r="CV185" s="90"/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/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90"/>
      <c r="DT185" s="90"/>
      <c r="DU185" s="90"/>
      <c r="DV185" s="90"/>
      <c r="DW185" s="90"/>
      <c r="DX185" s="90"/>
      <c r="DY185" s="90"/>
      <c r="DZ185" s="90"/>
      <c r="EA185" s="90"/>
      <c r="EB185" s="90"/>
      <c r="EC185" s="90"/>
      <c r="ED185" s="90"/>
      <c r="EE185" s="90"/>
      <c r="EF185" s="90"/>
      <c r="EG185" s="90"/>
      <c r="EH185" s="90"/>
      <c r="EI185" s="90"/>
      <c r="EJ185" s="90"/>
      <c r="EK185" s="90"/>
      <c r="EL185" s="90"/>
      <c r="EM185" s="90"/>
      <c r="EN185" s="90"/>
      <c r="EO185" s="90"/>
      <c r="EP185" s="90"/>
      <c r="EQ185" s="90"/>
      <c r="ER185" s="90"/>
    </row>
    <row r="186" spans="2:148" s="84" customFormat="1" ht="24.75" customHeight="1">
      <c r="B186" s="85"/>
      <c r="C186" s="106" t="s">
        <v>143</v>
      </c>
      <c r="D186" s="107"/>
      <c r="E186" s="108"/>
      <c r="F186" s="108"/>
      <c r="G186" s="108"/>
      <c r="H186" s="108"/>
      <c r="I186" s="107"/>
      <c r="J186" s="109"/>
      <c r="K186" s="107"/>
      <c r="L186" s="110"/>
      <c r="M186" s="110"/>
      <c r="N186" s="110"/>
      <c r="O186" s="86"/>
      <c r="P186" s="89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/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/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90"/>
      <c r="DT186" s="90"/>
      <c r="DU186" s="90"/>
      <c r="DV186" s="90"/>
      <c r="DW186" s="90"/>
      <c r="DX186" s="90"/>
      <c r="DY186" s="90"/>
      <c r="DZ186" s="90"/>
      <c r="EA186" s="90"/>
      <c r="EB186" s="90"/>
      <c r="EC186" s="90"/>
      <c r="ED186" s="90"/>
      <c r="EE186" s="90"/>
      <c r="EF186" s="90"/>
      <c r="EG186" s="90"/>
      <c r="EH186" s="90"/>
      <c r="EI186" s="90"/>
      <c r="EJ186" s="90"/>
      <c r="EK186" s="90"/>
      <c r="EL186" s="90"/>
      <c r="EM186" s="90"/>
      <c r="EN186" s="90"/>
      <c r="EO186" s="90"/>
      <c r="EP186" s="90"/>
      <c r="EQ186" s="90"/>
      <c r="ER186" s="90"/>
    </row>
    <row r="187" spans="2:148" s="84" customFormat="1" ht="24.75" customHeight="1">
      <c r="B187" s="85"/>
      <c r="C187" s="106" t="s">
        <v>144</v>
      </c>
      <c r="D187" s="107"/>
      <c r="E187" s="108"/>
      <c r="F187" s="108"/>
      <c r="G187" s="108"/>
      <c r="H187" s="108"/>
      <c r="I187" s="107"/>
      <c r="J187" s="109"/>
      <c r="K187" s="107"/>
      <c r="L187" s="110"/>
      <c r="M187" s="110"/>
      <c r="N187" s="110"/>
      <c r="O187" s="86"/>
      <c r="P187" s="89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0"/>
      <c r="DT187" s="90"/>
      <c r="DU187" s="90"/>
      <c r="DV187" s="90"/>
      <c r="DW187" s="90"/>
      <c r="DX187" s="90"/>
      <c r="DY187" s="90"/>
      <c r="DZ187" s="90"/>
      <c r="EA187" s="90"/>
      <c r="EB187" s="90"/>
      <c r="EC187" s="90"/>
      <c r="ED187" s="90"/>
      <c r="EE187" s="90"/>
      <c r="EF187" s="90"/>
      <c r="EG187" s="90"/>
      <c r="EH187" s="90"/>
      <c r="EI187" s="90"/>
      <c r="EJ187" s="90"/>
      <c r="EK187" s="90"/>
      <c r="EL187" s="90"/>
      <c r="EM187" s="90"/>
      <c r="EN187" s="90"/>
      <c r="EO187" s="90"/>
      <c r="EP187" s="90"/>
      <c r="EQ187" s="90"/>
      <c r="ER187" s="90"/>
    </row>
    <row r="188" spans="2:148" s="84" customFormat="1" ht="24.75" customHeight="1">
      <c r="B188" s="85"/>
      <c r="C188" s="111" t="s">
        <v>145</v>
      </c>
      <c r="D188" s="112"/>
      <c r="E188" s="113"/>
      <c r="F188" s="113"/>
      <c r="G188" s="113"/>
      <c r="H188" s="113"/>
      <c r="I188" s="112"/>
      <c r="J188" s="114"/>
      <c r="K188" s="112"/>
      <c r="L188" s="110"/>
      <c r="M188" s="110"/>
      <c r="N188" s="110"/>
      <c r="O188" s="86"/>
      <c r="P188" s="89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0"/>
      <c r="DV188" s="90"/>
      <c r="DW188" s="90"/>
      <c r="DX188" s="90"/>
      <c r="DY188" s="90"/>
      <c r="DZ188" s="90"/>
      <c r="EA188" s="90"/>
      <c r="EB188" s="90"/>
      <c r="EC188" s="90"/>
      <c r="ED188" s="90"/>
      <c r="EE188" s="90"/>
      <c r="EF188" s="90"/>
      <c r="EG188" s="90"/>
      <c r="EH188" s="90"/>
      <c r="EI188" s="90"/>
      <c r="EJ188" s="90"/>
      <c r="EK188" s="90"/>
      <c r="EL188" s="90"/>
      <c r="EM188" s="90"/>
      <c r="EN188" s="90"/>
      <c r="EO188" s="90"/>
      <c r="EP188" s="90"/>
      <c r="EQ188" s="90"/>
      <c r="ER188" s="90"/>
    </row>
    <row r="189" spans="2:16" ht="12" customHeight="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7"/>
    </row>
    <row r="191" ht="18.75" customHeight="1"/>
    <row r="193" spans="2:16" ht="3.75" customHeight="1"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3"/>
    </row>
    <row r="194" spans="2:16" ht="27.75" customHeight="1">
      <c r="B194" s="64"/>
      <c r="C194" s="65"/>
      <c r="D194" s="65"/>
      <c r="E194" s="65"/>
      <c r="F194" s="65"/>
      <c r="G194" s="66"/>
      <c r="H194" s="65"/>
      <c r="I194" s="65"/>
      <c r="J194" s="65"/>
      <c r="K194" s="65"/>
      <c r="L194" s="65"/>
      <c r="M194" s="134" t="s">
        <v>122</v>
      </c>
      <c r="N194" s="240"/>
      <c r="O194" s="241"/>
      <c r="P194" s="67"/>
    </row>
    <row r="195" spans="2:148" s="68" customFormat="1" ht="34.5" customHeight="1">
      <c r="B195" s="69"/>
      <c r="C195" s="232">
        <f>IF(M3="","",IF(INDEX(участники!$A$102:$M$963,$M$3+9-100,13)="","",INDEX(участники!$A$102:$M$963,$M$3+9-100,13)))</f>
      </c>
      <c r="D195" s="233"/>
      <c r="E195" s="70"/>
      <c r="F195" s="234"/>
      <c r="G195" s="235"/>
      <c r="H195" s="65"/>
      <c r="I195" s="71"/>
      <c r="J195" s="236">
        <f>IF(M3="","",IF(INDEX(участники!$A$102:$M$963,$M$3+9-100,1)="","",INDEX(участники!$A$102:$M$963,$M$3+9-100,1)))</f>
      </c>
      <c r="K195" s="237"/>
      <c r="L195" s="71"/>
      <c r="M195" s="134" t="s">
        <v>123</v>
      </c>
      <c r="N195" s="130" t="str">
        <f>IF(M3="","",CONCATENATE(IF(INDEX(участники!$A$102:$M$963,$M$3+9-100,3)="","",INDEX(участники!$A$102:$M$963,$M$3+9-100,3)),"  ",IF(INDEX(участники!$A$102:$M$963,$M$3+9-100,3)="","",INDEX(участники!$A$104:$M$963,$M$3+9-100,3))))</f>
        <v>  </v>
      </c>
      <c r="O195" s="72"/>
      <c r="P195" s="73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</row>
    <row r="196" spans="2:148" s="75" customFormat="1" ht="15.75" customHeight="1">
      <c r="B196" s="76"/>
      <c r="C196" s="224" t="s">
        <v>124</v>
      </c>
      <c r="D196" s="224"/>
      <c r="E196" s="77"/>
      <c r="F196" s="225" t="s">
        <v>125</v>
      </c>
      <c r="G196" s="225"/>
      <c r="H196" s="78"/>
      <c r="I196" s="77"/>
      <c r="J196" s="224" t="s">
        <v>126</v>
      </c>
      <c r="K196" s="224"/>
      <c r="L196" s="79"/>
      <c r="M196" s="79"/>
      <c r="N196" s="79"/>
      <c r="O196" s="79"/>
      <c r="P196" s="80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  <c r="DZ196" s="81"/>
      <c r="EA196" s="81"/>
      <c r="EB196" s="81"/>
      <c r="EC196" s="81"/>
      <c r="ED196" s="81"/>
      <c r="EE196" s="81"/>
      <c r="EF196" s="81"/>
      <c r="EG196" s="81"/>
      <c r="EH196" s="81"/>
      <c r="EI196" s="81"/>
      <c r="EJ196" s="81"/>
      <c r="EK196" s="81"/>
      <c r="EL196" s="81"/>
      <c r="EM196" s="81"/>
      <c r="EN196" s="81"/>
      <c r="EO196" s="81"/>
      <c r="EP196" s="81"/>
      <c r="EQ196" s="81"/>
      <c r="ER196" s="81"/>
    </row>
    <row r="197" spans="2:16" ht="40.5" customHeight="1">
      <c r="B197" s="64"/>
      <c r="C197" s="226">
        <f>IF(M3="","",IF(INDEX(участники!$A$102:$M$962,$M$3+9-100,2)="","",INDEX(участники!$A$102:$M$962,$M$3+9-100,2)))</f>
      </c>
      <c r="D197" s="226"/>
      <c r="E197" s="226"/>
      <c r="F197" s="226"/>
      <c r="G197" s="226"/>
      <c r="H197" s="226"/>
      <c r="I197" s="82"/>
      <c r="J197" s="227">
        <f>IF(M3="","",IF(INDEX(участники!$A$102:$M$962,$M$3+9-100,4)="","",INDEX(участники!$A$102:$M$962,$M$3+9-100,4)))</f>
      </c>
      <c r="K197" s="227"/>
      <c r="L197" s="83"/>
      <c r="M197" s="131">
        <f>IF(M3="","",IF(INDEX(участники!$A$102:$M$962,$M$3+9-100,5)="","",INDEX(участники!$A$102:$M$962,$M$3+9-100,5)))</f>
      </c>
      <c r="N197" s="65"/>
      <c r="O197" s="65"/>
      <c r="P197" s="67"/>
    </row>
    <row r="198" spans="2:148" s="84" customFormat="1" ht="12.75" customHeight="1">
      <c r="B198" s="85"/>
      <c r="C198" s="86" t="s">
        <v>127</v>
      </c>
      <c r="D198" s="86"/>
      <c r="E198" s="86"/>
      <c r="F198" s="86"/>
      <c r="G198" s="86"/>
      <c r="H198" s="86"/>
      <c r="I198" s="86"/>
      <c r="J198" s="228" t="s">
        <v>128</v>
      </c>
      <c r="K198" s="228"/>
      <c r="L198" s="86"/>
      <c r="M198" s="88" t="s">
        <v>129</v>
      </c>
      <c r="N198" s="86"/>
      <c r="O198" s="86"/>
      <c r="P198" s="89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  <c r="CM198" s="90"/>
      <c r="CN198" s="90"/>
      <c r="CO198" s="90"/>
      <c r="CP198" s="90"/>
      <c r="CQ198" s="90"/>
      <c r="CR198" s="90"/>
      <c r="CS198" s="90"/>
      <c r="CT198" s="90"/>
      <c r="CU198" s="90"/>
      <c r="CV198" s="90"/>
      <c r="CW198" s="90"/>
      <c r="CX198" s="90"/>
      <c r="CY198" s="90"/>
      <c r="CZ198" s="90"/>
      <c r="DA198" s="90"/>
      <c r="DB198" s="90"/>
      <c r="DC198" s="90"/>
      <c r="DD198" s="90"/>
      <c r="DE198" s="90"/>
      <c r="DF198" s="90"/>
      <c r="DG198" s="90"/>
      <c r="DH198" s="90"/>
      <c r="DI198" s="90"/>
      <c r="DJ198" s="90"/>
      <c r="DK198" s="90"/>
      <c r="DL198" s="90"/>
      <c r="DM198" s="90"/>
      <c r="DN198" s="90"/>
      <c r="DO198" s="90"/>
      <c r="DP198" s="90"/>
      <c r="DQ198" s="90"/>
      <c r="DR198" s="90"/>
      <c r="DS198" s="90"/>
      <c r="DT198" s="90"/>
      <c r="DU198" s="90"/>
      <c r="DV198" s="90"/>
      <c r="DW198" s="90"/>
      <c r="DX198" s="90"/>
      <c r="DY198" s="90"/>
      <c r="DZ198" s="90"/>
      <c r="EA198" s="90"/>
      <c r="EB198" s="90"/>
      <c r="EC198" s="90"/>
      <c r="ED198" s="90"/>
      <c r="EE198" s="90"/>
      <c r="EF198" s="90"/>
      <c r="EG198" s="90"/>
      <c r="EH198" s="90"/>
      <c r="EI198" s="90"/>
      <c r="EJ198" s="90"/>
      <c r="EK198" s="90"/>
      <c r="EL198" s="90"/>
      <c r="EM198" s="90"/>
      <c r="EN198" s="90"/>
      <c r="EO198" s="90"/>
      <c r="EP198" s="90"/>
      <c r="EQ198" s="90"/>
      <c r="ER198" s="90"/>
    </row>
    <row r="199" spans="2:148" s="91" customFormat="1" ht="35.25" customHeight="1">
      <c r="B199" s="92"/>
      <c r="C199" s="229">
        <f>IF(M3="","",IF(INDEX(участники!$A$102:$M$962,$M$3+9-100,6)="","",INDEX(участники!$A$102:$M$962,$M$3+9-100,6)))</f>
      </c>
      <c r="D199" s="220"/>
      <c r="E199" s="220"/>
      <c r="F199" s="220"/>
      <c r="G199" s="93"/>
      <c r="H199" s="216">
        <f>IF(M3="","",IF(INDEX(участники!$A$102:$M$962,$M$3+9-100,8)="","",INDEX(участники!$A$102:$M$962,$M$3+9-100,8)))</f>
      </c>
      <c r="I199" s="216"/>
      <c r="J199" s="216"/>
      <c r="K199" s="94"/>
      <c r="L199" s="221"/>
      <c r="M199" s="221"/>
      <c r="N199" s="221"/>
      <c r="O199" s="94"/>
      <c r="P199" s="95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</row>
    <row r="200" spans="2:148" s="84" customFormat="1" ht="11.25" customHeight="1">
      <c r="B200" s="85"/>
      <c r="C200" s="86" t="s">
        <v>130</v>
      </c>
      <c r="D200" s="86"/>
      <c r="E200" s="86"/>
      <c r="F200" s="86"/>
      <c r="G200" s="97"/>
      <c r="H200" s="217" t="s">
        <v>131</v>
      </c>
      <c r="I200" s="217"/>
      <c r="J200" s="217"/>
      <c r="K200" s="86"/>
      <c r="L200" s="218"/>
      <c r="M200" s="218"/>
      <c r="N200" s="218"/>
      <c r="O200" s="86"/>
      <c r="P200" s="89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90"/>
      <c r="DK200" s="90"/>
      <c r="DL200" s="90"/>
      <c r="DM200" s="90"/>
      <c r="DN200" s="90"/>
      <c r="DO200" s="90"/>
      <c r="DP200" s="90"/>
      <c r="DQ200" s="90"/>
      <c r="DR200" s="90"/>
      <c r="DS200" s="90"/>
      <c r="DT200" s="90"/>
      <c r="DU200" s="90"/>
      <c r="DV200" s="90"/>
      <c r="DW200" s="90"/>
      <c r="DX200" s="90"/>
      <c r="DY200" s="90"/>
      <c r="DZ200" s="90"/>
      <c r="EA200" s="90"/>
      <c r="EB200" s="90"/>
      <c r="EC200" s="90"/>
      <c r="ED200" s="90"/>
      <c r="EE200" s="90"/>
      <c r="EF200" s="90"/>
      <c r="EG200" s="90"/>
      <c r="EH200" s="90"/>
      <c r="EI200" s="90"/>
      <c r="EJ200" s="90"/>
      <c r="EK200" s="90"/>
      <c r="EL200" s="90"/>
      <c r="EM200" s="90"/>
      <c r="EN200" s="90"/>
      <c r="EO200" s="90"/>
      <c r="EP200" s="90"/>
      <c r="EQ200" s="90"/>
      <c r="ER200" s="90"/>
    </row>
    <row r="201" spans="2:148" s="91" customFormat="1" ht="24" customHeight="1">
      <c r="B201" s="92"/>
      <c r="C201" s="219">
        <f>IF(M3="","",IF(INDEX(участники!$A$102:$M$962,$M$3+9-100,7)="","",INDEX(участники!$A$102:$M$962,$M$3+9-100,7)))</f>
      </c>
      <c r="D201" s="220"/>
      <c r="E201" s="220"/>
      <c r="F201" s="220"/>
      <c r="G201" s="93"/>
      <c r="H201" s="216">
        <f>IF(M3="","",IF(INDEX(участники!$A$102:$M$962,$M$3+9-100,9)="","",INDEX(участники!$A$102:$M$962,$M$3+9-100,9)))</f>
      </c>
      <c r="I201" s="216"/>
      <c r="J201" s="216"/>
      <c r="K201" s="216"/>
      <c r="L201" s="216"/>
      <c r="M201" s="216"/>
      <c r="N201" s="216"/>
      <c r="O201" s="94"/>
      <c r="P201" s="95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</row>
    <row r="202" spans="2:148" s="84" customFormat="1" ht="9.75" customHeight="1">
      <c r="B202" s="85"/>
      <c r="C202" s="86" t="s">
        <v>132</v>
      </c>
      <c r="D202" s="86"/>
      <c r="E202" s="86"/>
      <c r="F202" s="86"/>
      <c r="G202" s="86"/>
      <c r="H202" s="217" t="s">
        <v>133</v>
      </c>
      <c r="I202" s="217"/>
      <c r="J202" s="217"/>
      <c r="K202" s="217"/>
      <c r="L202" s="217"/>
      <c r="M202" s="217"/>
      <c r="N202" s="86"/>
      <c r="O202" s="86"/>
      <c r="P202" s="89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90"/>
      <c r="DK202" s="90"/>
      <c r="DL202" s="90"/>
      <c r="DM202" s="90"/>
      <c r="DN202" s="90"/>
      <c r="DO202" s="90"/>
      <c r="DP202" s="90"/>
      <c r="DQ202" s="90"/>
      <c r="DR202" s="90"/>
      <c r="DS202" s="90"/>
      <c r="DT202" s="90"/>
      <c r="DU202" s="90"/>
      <c r="DV202" s="90"/>
      <c r="DW202" s="90"/>
      <c r="DX202" s="90"/>
      <c r="DY202" s="90"/>
      <c r="DZ202" s="90"/>
      <c r="EA202" s="90"/>
      <c r="EB202" s="90"/>
      <c r="EC202" s="90"/>
      <c r="ED202" s="90"/>
      <c r="EE202" s="90"/>
      <c r="EF202" s="90"/>
      <c r="EG202" s="90"/>
      <c r="EH202" s="90"/>
      <c r="EI202" s="90"/>
      <c r="EJ202" s="90"/>
      <c r="EK202" s="90"/>
      <c r="EL202" s="90"/>
      <c r="EM202" s="90"/>
      <c r="EN202" s="90"/>
      <c r="EO202" s="90"/>
      <c r="EP202" s="90"/>
      <c r="EQ202" s="90"/>
      <c r="ER202" s="90"/>
    </row>
    <row r="203" spans="2:148" s="84" customFormat="1" ht="9.75" customHeight="1">
      <c r="B203" s="85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9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</row>
    <row r="204" spans="2:16" ht="26.25" customHeight="1">
      <c r="B204" s="64"/>
      <c r="C204" s="214">
        <f>IF(M3="","",IF(INDEX(участники!$A$102:$M$962,$M$3+9-100,10)="","",INDEX(участники!$A$102:$M$962,$M$3+9-100,10)))</f>
      </c>
      <c r="D204" s="215"/>
      <c r="E204" s="215"/>
      <c r="F204" s="215"/>
      <c r="G204" s="215"/>
      <c r="H204" s="215"/>
      <c r="I204" s="215"/>
      <c r="J204" s="215"/>
      <c r="K204" s="65"/>
      <c r="L204" s="132">
        <f>IF(M3="","",IF(INDEX(участники!$A$102:$M$962,$M$3+9-100,11)="","",INDEX(участники!$A$102:$M$962,$M$3+9-100,11)))</f>
      </c>
      <c r="M204" s="98"/>
      <c r="N204" s="132">
        <f>IF(M3="","",IF(INDEX(участники!$A$102:$M$962,$M$3+9-100,12)="","",INDEX(участники!$A$102:$M$962,$M$3+9-100,12)))</f>
      </c>
      <c r="O204" s="65"/>
      <c r="P204" s="67"/>
    </row>
    <row r="205" spans="2:148" s="84" customFormat="1" ht="14.25" customHeight="1">
      <c r="B205" s="85"/>
      <c r="C205" s="86" t="s">
        <v>134</v>
      </c>
      <c r="D205" s="86"/>
      <c r="E205" s="86"/>
      <c r="F205" s="86"/>
      <c r="G205" s="86"/>
      <c r="H205" s="86"/>
      <c r="I205" s="86"/>
      <c r="J205" s="218"/>
      <c r="K205" s="218"/>
      <c r="L205" s="87" t="s">
        <v>135</v>
      </c>
      <c r="M205" s="99"/>
      <c r="N205" s="133" t="s">
        <v>136</v>
      </c>
      <c r="O205" s="86"/>
      <c r="P205" s="89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  <c r="CM205" s="90"/>
      <c r="CN205" s="90"/>
      <c r="CO205" s="90"/>
      <c r="CP205" s="90"/>
      <c r="CQ205" s="90"/>
      <c r="CR205" s="90"/>
      <c r="CS205" s="90"/>
      <c r="CT205" s="90"/>
      <c r="CU205" s="90"/>
      <c r="CV205" s="90"/>
      <c r="CW205" s="90"/>
      <c r="CX205" s="90"/>
      <c r="CY205" s="90"/>
      <c r="CZ205" s="90"/>
      <c r="DA205" s="90"/>
      <c r="DB205" s="90"/>
      <c r="DC205" s="90"/>
      <c r="DD205" s="90"/>
      <c r="DE205" s="90"/>
      <c r="DF205" s="90"/>
      <c r="DG205" s="90"/>
      <c r="DH205" s="90"/>
      <c r="DI205" s="90"/>
      <c r="DJ205" s="90"/>
      <c r="DK205" s="90"/>
      <c r="DL205" s="90"/>
      <c r="DM205" s="90"/>
      <c r="DN205" s="90"/>
      <c r="DO205" s="90"/>
      <c r="DP205" s="90"/>
      <c r="DQ205" s="90"/>
      <c r="DR205" s="90"/>
      <c r="DS205" s="90"/>
      <c r="DT205" s="90"/>
      <c r="DU205" s="90"/>
      <c r="DV205" s="90"/>
      <c r="DW205" s="90"/>
      <c r="DX205" s="90"/>
      <c r="DY205" s="90"/>
      <c r="DZ205" s="90"/>
      <c r="EA205" s="90"/>
      <c r="EB205" s="90"/>
      <c r="EC205" s="90"/>
      <c r="ED205" s="90"/>
      <c r="EE205" s="90"/>
      <c r="EF205" s="90"/>
      <c r="EG205" s="90"/>
      <c r="EH205" s="90"/>
      <c r="EI205" s="90"/>
      <c r="EJ205" s="90"/>
      <c r="EK205" s="90"/>
      <c r="EL205" s="90"/>
      <c r="EM205" s="90"/>
      <c r="EN205" s="90"/>
      <c r="EO205" s="90"/>
      <c r="EP205" s="90"/>
      <c r="EQ205" s="90"/>
      <c r="ER205" s="90"/>
    </row>
    <row r="206" spans="2:148" s="84" customFormat="1" ht="24.75" customHeight="1">
      <c r="B206" s="85"/>
      <c r="C206" s="86"/>
      <c r="D206" s="86"/>
      <c r="E206" s="86"/>
      <c r="F206" s="86"/>
      <c r="G206" s="86"/>
      <c r="H206" s="86"/>
      <c r="I206" s="86"/>
      <c r="J206" s="88"/>
      <c r="K206" s="88"/>
      <c r="L206" s="86"/>
      <c r="M206" s="88"/>
      <c r="N206" s="88"/>
      <c r="O206" s="86"/>
      <c r="P206" s="89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  <c r="CM206" s="90"/>
      <c r="CN206" s="90"/>
      <c r="CO206" s="90"/>
      <c r="CP206" s="90"/>
      <c r="CQ206" s="90"/>
      <c r="CR206" s="90"/>
      <c r="CS206" s="90"/>
      <c r="CT206" s="90"/>
      <c r="CU206" s="90"/>
      <c r="CV206" s="90"/>
      <c r="CW206" s="90"/>
      <c r="CX206" s="90"/>
      <c r="CY206" s="90"/>
      <c r="CZ206" s="90"/>
      <c r="DA206" s="90"/>
      <c r="DB206" s="90"/>
      <c r="DC206" s="90"/>
      <c r="DD206" s="90"/>
      <c r="DE206" s="90"/>
      <c r="DF206" s="90"/>
      <c r="DG206" s="90"/>
      <c r="DH206" s="90"/>
      <c r="DI206" s="90"/>
      <c r="DJ206" s="90"/>
      <c r="DK206" s="90"/>
      <c r="DL206" s="90"/>
      <c r="DM206" s="90"/>
      <c r="DN206" s="90"/>
      <c r="DO206" s="90"/>
      <c r="DP206" s="90"/>
      <c r="DQ206" s="90"/>
      <c r="DR206" s="90"/>
      <c r="DS206" s="90"/>
      <c r="DT206" s="90"/>
      <c r="DU206" s="90"/>
      <c r="DV206" s="90"/>
      <c r="DW206" s="90"/>
      <c r="DX206" s="90"/>
      <c r="DY206" s="90"/>
      <c r="DZ206" s="90"/>
      <c r="EA206" s="90"/>
      <c r="EB206" s="90"/>
      <c r="EC206" s="90"/>
      <c r="ED206" s="90"/>
      <c r="EE206" s="90"/>
      <c r="EF206" s="90"/>
      <c r="EG206" s="90"/>
      <c r="EH206" s="90"/>
      <c r="EI206" s="90"/>
      <c r="EJ206" s="90"/>
      <c r="EK206" s="90"/>
      <c r="EL206" s="90"/>
      <c r="EM206" s="90"/>
      <c r="EN206" s="90"/>
      <c r="EO206" s="90"/>
      <c r="EP206" s="90"/>
      <c r="EQ206" s="90"/>
      <c r="ER206" s="90"/>
    </row>
    <row r="207" spans="2:148" s="84" customFormat="1" ht="17.25" customHeight="1">
      <c r="B207" s="85"/>
      <c r="C207" s="100" t="s">
        <v>137</v>
      </c>
      <c r="D207" s="101"/>
      <c r="E207" s="102"/>
      <c r="F207" s="103" t="s">
        <v>138</v>
      </c>
      <c r="G207" s="102"/>
      <c r="H207" s="102"/>
      <c r="I207" s="104"/>
      <c r="J207" s="222" t="s">
        <v>139</v>
      </c>
      <c r="K207" s="223"/>
      <c r="L207" s="105" t="s">
        <v>140</v>
      </c>
      <c r="M207" s="105" t="s">
        <v>141</v>
      </c>
      <c r="N207" s="105" t="s">
        <v>142</v>
      </c>
      <c r="O207" s="86"/>
      <c r="P207" s="89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90"/>
      <c r="EL207" s="90"/>
      <c r="EM207" s="90"/>
      <c r="EN207" s="90"/>
      <c r="EO207" s="90"/>
      <c r="EP207" s="90"/>
      <c r="EQ207" s="90"/>
      <c r="ER207" s="90"/>
    </row>
    <row r="208" spans="2:148" s="84" customFormat="1" ht="24.75" customHeight="1">
      <c r="B208" s="85"/>
      <c r="C208" s="106" t="s">
        <v>143</v>
      </c>
      <c r="D208" s="107"/>
      <c r="E208" s="108"/>
      <c r="F208" s="108"/>
      <c r="G208" s="108"/>
      <c r="H208" s="108"/>
      <c r="I208" s="107"/>
      <c r="J208" s="109"/>
      <c r="K208" s="107"/>
      <c r="L208" s="110"/>
      <c r="M208" s="110"/>
      <c r="N208" s="110"/>
      <c r="O208" s="86"/>
      <c r="P208" s="89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/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/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/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/>
      <c r="EL208" s="90"/>
      <c r="EM208" s="90"/>
      <c r="EN208" s="90"/>
      <c r="EO208" s="90"/>
      <c r="EP208" s="90"/>
      <c r="EQ208" s="90"/>
      <c r="ER208" s="90"/>
    </row>
    <row r="209" spans="2:148" s="84" customFormat="1" ht="24.75" customHeight="1">
      <c r="B209" s="85"/>
      <c r="C209" s="106" t="s">
        <v>144</v>
      </c>
      <c r="D209" s="107"/>
      <c r="E209" s="108"/>
      <c r="F209" s="108"/>
      <c r="G209" s="108"/>
      <c r="H209" s="108"/>
      <c r="I209" s="107"/>
      <c r="J209" s="109"/>
      <c r="K209" s="107"/>
      <c r="L209" s="110"/>
      <c r="M209" s="110"/>
      <c r="N209" s="110"/>
      <c r="O209" s="86"/>
      <c r="P209" s="89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  <c r="CM209" s="90"/>
      <c r="CN209" s="90"/>
      <c r="CO209" s="90"/>
      <c r="CP209" s="90"/>
      <c r="CQ209" s="90"/>
      <c r="CR209" s="90"/>
      <c r="CS209" s="90"/>
      <c r="CT209" s="90"/>
      <c r="CU209" s="90"/>
      <c r="CV209" s="90"/>
      <c r="CW209" s="90"/>
      <c r="CX209" s="90"/>
      <c r="CY209" s="90"/>
      <c r="CZ209" s="90"/>
      <c r="DA209" s="90"/>
      <c r="DB209" s="90"/>
      <c r="DC209" s="90"/>
      <c r="DD209" s="90"/>
      <c r="DE209" s="90"/>
      <c r="DF209" s="90"/>
      <c r="DG209" s="90"/>
      <c r="DH209" s="90"/>
      <c r="DI209" s="90"/>
      <c r="DJ209" s="90"/>
      <c r="DK209" s="90"/>
      <c r="DL209" s="90"/>
      <c r="DM209" s="90"/>
      <c r="DN209" s="90"/>
      <c r="DO209" s="90"/>
      <c r="DP209" s="90"/>
      <c r="DQ209" s="90"/>
      <c r="DR209" s="90"/>
      <c r="DS209" s="90"/>
      <c r="DT209" s="90"/>
      <c r="DU209" s="90"/>
      <c r="DV209" s="90"/>
      <c r="DW209" s="90"/>
      <c r="DX209" s="90"/>
      <c r="DY209" s="90"/>
      <c r="DZ209" s="90"/>
      <c r="EA209" s="90"/>
      <c r="EB209" s="90"/>
      <c r="EC209" s="90"/>
      <c r="ED209" s="90"/>
      <c r="EE209" s="90"/>
      <c r="EF209" s="90"/>
      <c r="EG209" s="90"/>
      <c r="EH209" s="90"/>
      <c r="EI209" s="90"/>
      <c r="EJ209" s="90"/>
      <c r="EK209" s="90"/>
      <c r="EL209" s="90"/>
      <c r="EM209" s="90"/>
      <c r="EN209" s="90"/>
      <c r="EO209" s="90"/>
      <c r="EP209" s="90"/>
      <c r="EQ209" s="90"/>
      <c r="ER209" s="90"/>
    </row>
    <row r="210" spans="2:148" s="84" customFormat="1" ht="24.75" customHeight="1">
      <c r="B210" s="85"/>
      <c r="C210" s="111" t="s">
        <v>145</v>
      </c>
      <c r="D210" s="112"/>
      <c r="E210" s="113"/>
      <c r="F210" s="113"/>
      <c r="G210" s="113"/>
      <c r="H210" s="113"/>
      <c r="I210" s="112"/>
      <c r="J210" s="114"/>
      <c r="K210" s="112"/>
      <c r="L210" s="110"/>
      <c r="M210" s="110"/>
      <c r="N210" s="110"/>
      <c r="O210" s="86"/>
      <c r="P210" s="89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</row>
    <row r="211" spans="2:16" ht="12" customHeight="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7"/>
    </row>
    <row r="212" spans="2:16" ht="3.75" customHeight="1">
      <c r="B212" s="61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3"/>
    </row>
    <row r="213" spans="2:16" ht="27.75" customHeight="1">
      <c r="B213" s="64"/>
      <c r="C213" s="65"/>
      <c r="D213" s="65"/>
      <c r="E213" s="65"/>
      <c r="F213" s="65"/>
      <c r="G213" s="66"/>
      <c r="H213" s="65"/>
      <c r="I213" s="65"/>
      <c r="J213" s="65"/>
      <c r="K213" s="65"/>
      <c r="L213" s="65"/>
      <c r="M213" s="134" t="s">
        <v>122</v>
      </c>
      <c r="N213" s="238"/>
      <c r="O213" s="239"/>
      <c r="P213" s="67"/>
    </row>
    <row r="214" spans="2:148" s="68" customFormat="1" ht="34.5" customHeight="1">
      <c r="B214" s="69"/>
      <c r="C214" s="232">
        <f>IF(M3="","",IF(INDEX(участники!$A$102:$M$963,$M$3+10-100,13)="","",INDEX(участники!$A$102:$M$963,$M$3+10-100,13)))</f>
      </c>
      <c r="D214" s="233"/>
      <c r="E214" s="70"/>
      <c r="F214" s="234"/>
      <c r="G214" s="235"/>
      <c r="H214" s="65"/>
      <c r="I214" s="71"/>
      <c r="J214" s="236">
        <f>IF(M3="","",IF(INDEX(участники!$A$102:$M$963,$M$3+10-100,1)="","",INDEX(участники!$A$102:$M$963,$M$3+10-100,1)))</f>
      </c>
      <c r="K214" s="237"/>
      <c r="L214" s="71"/>
      <c r="M214" s="134" t="s">
        <v>123</v>
      </c>
      <c r="N214" s="130" t="str">
        <f>IF(M3="","",CONCATENATE(IF(INDEX(участники!$A$102:$M$963,$M$3+10-100,3)="","",INDEX(участники!$A$102:$M$963,$M$3+10-100,3)),"  ",IF(INDEX(участники!$A$102:$M$963,$M$3+10-100,3)="","",INDEX(участники!$A$104:$M$963,$M$3+10-100,3))))</f>
        <v>  </v>
      </c>
      <c r="O214" s="72"/>
      <c r="P214" s="73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</row>
    <row r="215" spans="2:148" s="75" customFormat="1" ht="15.75" customHeight="1">
      <c r="B215" s="76"/>
      <c r="C215" s="224" t="s">
        <v>124</v>
      </c>
      <c r="D215" s="224"/>
      <c r="E215" s="77"/>
      <c r="F215" s="225" t="s">
        <v>125</v>
      </c>
      <c r="G215" s="225"/>
      <c r="H215" s="78"/>
      <c r="I215" s="77"/>
      <c r="J215" s="224" t="s">
        <v>126</v>
      </c>
      <c r="K215" s="224"/>
      <c r="L215" s="79"/>
      <c r="M215" s="79"/>
      <c r="N215" s="79"/>
      <c r="O215" s="79"/>
      <c r="P215" s="80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</row>
    <row r="216" spans="2:16" ht="40.5" customHeight="1">
      <c r="B216" s="64"/>
      <c r="C216" s="226">
        <f>IF(M3="","",IF(INDEX(участники!$A$102:$M$962,$M$3+10-100,2)="","",INDEX(участники!$A$102:$M$962,$M$3+10-100,2)))</f>
      </c>
      <c r="D216" s="226"/>
      <c r="E216" s="226"/>
      <c r="F216" s="226"/>
      <c r="G216" s="226"/>
      <c r="H216" s="226"/>
      <c r="I216" s="82"/>
      <c r="J216" s="227">
        <f>IF(M3="","",IF(INDEX(участники!$A$102:$M$962,$M$3+10-100,4)="","",INDEX(участники!$A$102:$M$962,$M$3+10-100,4)))</f>
      </c>
      <c r="K216" s="227"/>
      <c r="L216" s="83"/>
      <c r="M216" s="131">
        <f>IF(M3="","",IF(INDEX(участники!$A$102:$M$962,$M$3+10-100,5)="","",INDEX(участники!$A$102:$M$962,$M$3+10-100,5)))</f>
      </c>
      <c r="N216" s="65"/>
      <c r="O216" s="65"/>
      <c r="P216" s="67"/>
    </row>
    <row r="217" spans="2:148" s="84" customFormat="1" ht="12.75" customHeight="1">
      <c r="B217" s="85"/>
      <c r="C217" s="86" t="s">
        <v>127</v>
      </c>
      <c r="D217" s="86"/>
      <c r="E217" s="86"/>
      <c r="F217" s="86"/>
      <c r="G217" s="86"/>
      <c r="H217" s="86"/>
      <c r="I217" s="86"/>
      <c r="J217" s="228" t="s">
        <v>128</v>
      </c>
      <c r="K217" s="228"/>
      <c r="L217" s="86"/>
      <c r="M217" s="88" t="s">
        <v>129</v>
      </c>
      <c r="N217" s="86"/>
      <c r="O217" s="86"/>
      <c r="P217" s="89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0"/>
      <c r="CX217" s="90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0"/>
      <c r="DJ217" s="90"/>
      <c r="DK217" s="90"/>
      <c r="DL217" s="90"/>
      <c r="DM217" s="90"/>
      <c r="DN217" s="90"/>
      <c r="DO217" s="90"/>
      <c r="DP217" s="90"/>
      <c r="DQ217" s="90"/>
      <c r="DR217" s="90"/>
      <c r="DS217" s="90"/>
      <c r="DT217" s="90"/>
      <c r="DU217" s="90"/>
      <c r="DV217" s="90"/>
      <c r="DW217" s="90"/>
      <c r="DX217" s="90"/>
      <c r="DY217" s="90"/>
      <c r="DZ217" s="90"/>
      <c r="EA217" s="90"/>
      <c r="EB217" s="90"/>
      <c r="EC217" s="90"/>
      <c r="ED217" s="90"/>
      <c r="EE217" s="90"/>
      <c r="EF217" s="90"/>
      <c r="EG217" s="90"/>
      <c r="EH217" s="90"/>
      <c r="EI217" s="90"/>
      <c r="EJ217" s="90"/>
      <c r="EK217" s="90"/>
      <c r="EL217" s="90"/>
      <c r="EM217" s="90"/>
      <c r="EN217" s="90"/>
      <c r="EO217" s="90"/>
      <c r="EP217" s="90"/>
      <c r="EQ217" s="90"/>
      <c r="ER217" s="90"/>
    </row>
    <row r="218" spans="2:148" s="91" customFormat="1" ht="35.25" customHeight="1">
      <c r="B218" s="92"/>
      <c r="C218" s="229">
        <f>IF(M3="","",IF(INDEX(участники!$A$102:$M$962,$M$3+10-100,6)="","",INDEX(участники!$A$102:$M$962,$M$3+10-100,6)))</f>
      </c>
      <c r="D218" s="220"/>
      <c r="E218" s="220"/>
      <c r="F218" s="220"/>
      <c r="G218" s="93"/>
      <c r="H218" s="216">
        <f>IF(M3="","",IF(INDEX(участники!$A$102:$M$962,$M$3+10-100,8)="","",INDEX(участники!$A$102:$M$962,$M$3+10-100,8)))</f>
      </c>
      <c r="I218" s="216"/>
      <c r="J218" s="216"/>
      <c r="K218" s="94"/>
      <c r="L218" s="221"/>
      <c r="M218" s="221"/>
      <c r="N218" s="221"/>
      <c r="O218" s="94"/>
      <c r="P218" s="95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</row>
    <row r="219" spans="2:148" s="84" customFormat="1" ht="11.25" customHeight="1">
      <c r="B219" s="85"/>
      <c r="C219" s="86" t="s">
        <v>130</v>
      </c>
      <c r="D219" s="86"/>
      <c r="E219" s="86"/>
      <c r="F219" s="86"/>
      <c r="G219" s="97"/>
      <c r="H219" s="217" t="s">
        <v>131</v>
      </c>
      <c r="I219" s="217"/>
      <c r="J219" s="217"/>
      <c r="K219" s="86"/>
      <c r="L219" s="218"/>
      <c r="M219" s="218"/>
      <c r="N219" s="218"/>
      <c r="O219" s="86"/>
      <c r="P219" s="89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  <c r="CM219" s="90"/>
      <c r="CN219" s="90"/>
      <c r="CO219" s="90"/>
      <c r="CP219" s="90"/>
      <c r="CQ219" s="90"/>
      <c r="CR219" s="90"/>
      <c r="CS219" s="90"/>
      <c r="CT219" s="90"/>
      <c r="CU219" s="90"/>
      <c r="CV219" s="90"/>
      <c r="CW219" s="90"/>
      <c r="CX219" s="90"/>
      <c r="CY219" s="90"/>
      <c r="CZ219" s="90"/>
      <c r="DA219" s="90"/>
      <c r="DB219" s="90"/>
      <c r="DC219" s="90"/>
      <c r="DD219" s="90"/>
      <c r="DE219" s="90"/>
      <c r="DF219" s="90"/>
      <c r="DG219" s="90"/>
      <c r="DH219" s="90"/>
      <c r="DI219" s="90"/>
      <c r="DJ219" s="90"/>
      <c r="DK219" s="90"/>
      <c r="DL219" s="90"/>
      <c r="DM219" s="90"/>
      <c r="DN219" s="90"/>
      <c r="DO219" s="90"/>
      <c r="DP219" s="90"/>
      <c r="DQ219" s="90"/>
      <c r="DR219" s="90"/>
      <c r="DS219" s="90"/>
      <c r="DT219" s="90"/>
      <c r="DU219" s="90"/>
      <c r="DV219" s="90"/>
      <c r="DW219" s="90"/>
      <c r="DX219" s="90"/>
      <c r="DY219" s="90"/>
      <c r="DZ219" s="90"/>
      <c r="EA219" s="90"/>
      <c r="EB219" s="90"/>
      <c r="EC219" s="90"/>
      <c r="ED219" s="90"/>
      <c r="EE219" s="90"/>
      <c r="EF219" s="90"/>
      <c r="EG219" s="90"/>
      <c r="EH219" s="90"/>
      <c r="EI219" s="90"/>
      <c r="EJ219" s="90"/>
      <c r="EK219" s="90"/>
      <c r="EL219" s="90"/>
      <c r="EM219" s="90"/>
      <c r="EN219" s="90"/>
      <c r="EO219" s="90"/>
      <c r="EP219" s="90"/>
      <c r="EQ219" s="90"/>
      <c r="ER219" s="90"/>
    </row>
    <row r="220" spans="2:148" s="91" customFormat="1" ht="24" customHeight="1">
      <c r="B220" s="92"/>
      <c r="C220" s="219">
        <f>IF(M3="","",IF(INDEX(участники!$A$102:$M$962,$M$3+10-100,7)="","",INDEX(участники!$A$102:$M$962,$M$3+10-100,7)))</f>
      </c>
      <c r="D220" s="220"/>
      <c r="E220" s="220"/>
      <c r="F220" s="220"/>
      <c r="G220" s="93"/>
      <c r="H220" s="216">
        <f>IF(M3="","",IF(INDEX(участники!$A$102:$M$962,$M$3+10-100,9)="","",INDEX(участники!$A$102:$M$962,$M$3+10-100,9)))</f>
      </c>
      <c r="I220" s="216"/>
      <c r="J220" s="216"/>
      <c r="K220" s="216"/>
      <c r="L220" s="216"/>
      <c r="M220" s="216"/>
      <c r="N220" s="216"/>
      <c r="O220" s="94"/>
      <c r="P220" s="95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</row>
    <row r="221" spans="2:148" s="84" customFormat="1" ht="9.75" customHeight="1">
      <c r="B221" s="85"/>
      <c r="C221" s="86" t="s">
        <v>132</v>
      </c>
      <c r="D221" s="86"/>
      <c r="E221" s="86"/>
      <c r="F221" s="86"/>
      <c r="G221" s="86"/>
      <c r="H221" s="217" t="s">
        <v>133</v>
      </c>
      <c r="I221" s="217"/>
      <c r="J221" s="217"/>
      <c r="K221" s="217"/>
      <c r="L221" s="217"/>
      <c r="M221" s="217"/>
      <c r="N221" s="86"/>
      <c r="O221" s="86"/>
      <c r="P221" s="89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/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/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/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/>
      <c r="EL221" s="90"/>
      <c r="EM221" s="90"/>
      <c r="EN221" s="90"/>
      <c r="EO221" s="90"/>
      <c r="EP221" s="90"/>
      <c r="EQ221" s="90"/>
      <c r="ER221" s="90"/>
    </row>
    <row r="222" spans="2:148" s="84" customFormat="1" ht="9.75" customHeight="1">
      <c r="B222" s="85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9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  <c r="CM222" s="90"/>
      <c r="CN222" s="90"/>
      <c r="CO222" s="90"/>
      <c r="CP222" s="90"/>
      <c r="CQ222" s="90"/>
      <c r="CR222" s="90"/>
      <c r="CS222" s="90"/>
      <c r="CT222" s="90"/>
      <c r="CU222" s="90"/>
      <c r="CV222" s="90"/>
      <c r="CW222" s="90"/>
      <c r="CX222" s="90"/>
      <c r="CY222" s="90"/>
      <c r="CZ222" s="90"/>
      <c r="DA222" s="90"/>
      <c r="DB222" s="90"/>
      <c r="DC222" s="90"/>
      <c r="DD222" s="90"/>
      <c r="DE222" s="90"/>
      <c r="DF222" s="90"/>
      <c r="DG222" s="90"/>
      <c r="DH222" s="90"/>
      <c r="DI222" s="90"/>
      <c r="DJ222" s="90"/>
      <c r="DK222" s="90"/>
      <c r="DL222" s="90"/>
      <c r="DM222" s="90"/>
      <c r="DN222" s="90"/>
      <c r="DO222" s="90"/>
      <c r="DP222" s="90"/>
      <c r="DQ222" s="90"/>
      <c r="DR222" s="90"/>
      <c r="DS222" s="90"/>
      <c r="DT222" s="90"/>
      <c r="DU222" s="90"/>
      <c r="DV222" s="90"/>
      <c r="DW222" s="90"/>
      <c r="DX222" s="90"/>
      <c r="DY222" s="90"/>
      <c r="DZ222" s="90"/>
      <c r="EA222" s="90"/>
      <c r="EB222" s="90"/>
      <c r="EC222" s="90"/>
      <c r="ED222" s="90"/>
      <c r="EE222" s="90"/>
      <c r="EF222" s="90"/>
      <c r="EG222" s="90"/>
      <c r="EH222" s="90"/>
      <c r="EI222" s="90"/>
      <c r="EJ222" s="90"/>
      <c r="EK222" s="90"/>
      <c r="EL222" s="90"/>
      <c r="EM222" s="90"/>
      <c r="EN222" s="90"/>
      <c r="EO222" s="90"/>
      <c r="EP222" s="90"/>
      <c r="EQ222" s="90"/>
      <c r="ER222" s="90"/>
    </row>
    <row r="223" spans="2:16" ht="26.25" customHeight="1">
      <c r="B223" s="64"/>
      <c r="C223" s="214">
        <f>IF(M3="","",IF(INDEX(участники!$A$102:$M$962,$M$3+10-100,10)="","",INDEX(участники!$A$102:$M$962,$M$3+10-100,10)))</f>
      </c>
      <c r="D223" s="215"/>
      <c r="E223" s="215"/>
      <c r="F223" s="215"/>
      <c r="G223" s="215"/>
      <c r="H223" s="215"/>
      <c r="I223" s="215"/>
      <c r="J223" s="215"/>
      <c r="K223" s="65"/>
      <c r="L223" s="132">
        <f>IF(M3="","",IF(INDEX(участники!$A$102:$M$962,$M$3+10-100,11)="","",INDEX(участники!$A$102:$M$962,$M$3+10-100,11)))</f>
      </c>
      <c r="M223" s="98"/>
      <c r="N223" s="132">
        <f>IF(M3="","",IF(INDEX(участники!$A$102:$M$962,$M$3+10-100,12)="","",INDEX(участники!$A$102:$M$962,$M$3+10-100,12)))</f>
      </c>
      <c r="O223" s="65"/>
      <c r="P223" s="67"/>
    </row>
    <row r="224" spans="2:148" s="84" customFormat="1" ht="14.25" customHeight="1">
      <c r="B224" s="85"/>
      <c r="C224" s="86" t="s">
        <v>134</v>
      </c>
      <c r="D224" s="86"/>
      <c r="E224" s="86"/>
      <c r="F224" s="86"/>
      <c r="G224" s="86"/>
      <c r="H224" s="86"/>
      <c r="I224" s="86"/>
      <c r="J224" s="218"/>
      <c r="K224" s="218"/>
      <c r="L224" s="87" t="s">
        <v>135</v>
      </c>
      <c r="M224" s="99"/>
      <c r="N224" s="133" t="s">
        <v>136</v>
      </c>
      <c r="O224" s="86"/>
      <c r="P224" s="89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  <c r="CM224" s="90"/>
      <c r="CN224" s="90"/>
      <c r="CO224" s="90"/>
      <c r="CP224" s="90"/>
      <c r="CQ224" s="90"/>
      <c r="CR224" s="90"/>
      <c r="CS224" s="90"/>
      <c r="CT224" s="90"/>
      <c r="CU224" s="90"/>
      <c r="CV224" s="90"/>
      <c r="CW224" s="90"/>
      <c r="CX224" s="90"/>
      <c r="CY224" s="90"/>
      <c r="CZ224" s="90"/>
      <c r="DA224" s="90"/>
      <c r="DB224" s="90"/>
      <c r="DC224" s="90"/>
      <c r="DD224" s="90"/>
      <c r="DE224" s="90"/>
      <c r="DF224" s="90"/>
      <c r="DG224" s="90"/>
      <c r="DH224" s="90"/>
      <c r="DI224" s="90"/>
      <c r="DJ224" s="90"/>
      <c r="DK224" s="90"/>
      <c r="DL224" s="90"/>
      <c r="DM224" s="90"/>
      <c r="DN224" s="90"/>
      <c r="DO224" s="90"/>
      <c r="DP224" s="90"/>
      <c r="DQ224" s="90"/>
      <c r="DR224" s="90"/>
      <c r="DS224" s="90"/>
      <c r="DT224" s="90"/>
      <c r="DU224" s="90"/>
      <c r="DV224" s="90"/>
      <c r="DW224" s="90"/>
      <c r="DX224" s="90"/>
      <c r="DY224" s="90"/>
      <c r="DZ224" s="90"/>
      <c r="EA224" s="90"/>
      <c r="EB224" s="90"/>
      <c r="EC224" s="90"/>
      <c r="ED224" s="90"/>
      <c r="EE224" s="90"/>
      <c r="EF224" s="90"/>
      <c r="EG224" s="90"/>
      <c r="EH224" s="90"/>
      <c r="EI224" s="90"/>
      <c r="EJ224" s="90"/>
      <c r="EK224" s="90"/>
      <c r="EL224" s="90"/>
      <c r="EM224" s="90"/>
      <c r="EN224" s="90"/>
      <c r="EO224" s="90"/>
      <c r="EP224" s="90"/>
      <c r="EQ224" s="90"/>
      <c r="ER224" s="90"/>
    </row>
    <row r="225" spans="2:148" s="84" customFormat="1" ht="24.75" customHeight="1">
      <c r="B225" s="85"/>
      <c r="C225" s="86"/>
      <c r="D225" s="86"/>
      <c r="E225" s="86"/>
      <c r="F225" s="86"/>
      <c r="G225" s="86"/>
      <c r="H225" s="86"/>
      <c r="I225" s="86"/>
      <c r="J225" s="88"/>
      <c r="K225" s="88"/>
      <c r="L225" s="86"/>
      <c r="M225" s="88"/>
      <c r="N225" s="88"/>
      <c r="O225" s="86"/>
      <c r="P225" s="89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0"/>
      <c r="CX225" s="90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0"/>
      <c r="DJ225" s="90"/>
      <c r="DK225" s="90"/>
      <c r="DL225" s="90"/>
      <c r="DM225" s="90"/>
      <c r="DN225" s="90"/>
      <c r="DO225" s="90"/>
      <c r="DP225" s="90"/>
      <c r="DQ225" s="90"/>
      <c r="DR225" s="90"/>
      <c r="DS225" s="90"/>
      <c r="DT225" s="90"/>
      <c r="DU225" s="90"/>
      <c r="DV225" s="90"/>
      <c r="DW225" s="90"/>
      <c r="DX225" s="90"/>
      <c r="DY225" s="90"/>
      <c r="DZ225" s="90"/>
      <c r="EA225" s="90"/>
      <c r="EB225" s="90"/>
      <c r="EC225" s="90"/>
      <c r="ED225" s="90"/>
      <c r="EE225" s="90"/>
      <c r="EF225" s="90"/>
      <c r="EG225" s="90"/>
      <c r="EH225" s="90"/>
      <c r="EI225" s="90"/>
      <c r="EJ225" s="90"/>
      <c r="EK225" s="90"/>
      <c r="EL225" s="90"/>
      <c r="EM225" s="90"/>
      <c r="EN225" s="90"/>
      <c r="EO225" s="90"/>
      <c r="EP225" s="90"/>
      <c r="EQ225" s="90"/>
      <c r="ER225" s="90"/>
    </row>
    <row r="226" spans="2:148" s="84" customFormat="1" ht="17.25" customHeight="1">
      <c r="B226" s="85"/>
      <c r="C226" s="100" t="s">
        <v>137</v>
      </c>
      <c r="D226" s="101"/>
      <c r="E226" s="102"/>
      <c r="F226" s="103" t="s">
        <v>138</v>
      </c>
      <c r="G226" s="102"/>
      <c r="H226" s="102"/>
      <c r="I226" s="104"/>
      <c r="J226" s="222" t="s">
        <v>139</v>
      </c>
      <c r="K226" s="223"/>
      <c r="L226" s="105" t="s">
        <v>140</v>
      </c>
      <c r="M226" s="105" t="s">
        <v>141</v>
      </c>
      <c r="N226" s="105" t="s">
        <v>142</v>
      </c>
      <c r="O226" s="86"/>
      <c r="P226" s="89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  <c r="CM226" s="90"/>
      <c r="CN226" s="90"/>
      <c r="CO226" s="90"/>
      <c r="CP226" s="90"/>
      <c r="CQ226" s="90"/>
      <c r="CR226" s="90"/>
      <c r="CS226" s="90"/>
      <c r="CT226" s="90"/>
      <c r="CU226" s="90"/>
      <c r="CV226" s="90"/>
      <c r="CW226" s="90"/>
      <c r="CX226" s="90"/>
      <c r="CY226" s="90"/>
      <c r="CZ226" s="90"/>
      <c r="DA226" s="90"/>
      <c r="DB226" s="90"/>
      <c r="DC226" s="90"/>
      <c r="DD226" s="90"/>
      <c r="DE226" s="90"/>
      <c r="DF226" s="90"/>
      <c r="DG226" s="90"/>
      <c r="DH226" s="90"/>
      <c r="DI226" s="90"/>
      <c r="DJ226" s="90"/>
      <c r="DK226" s="90"/>
      <c r="DL226" s="90"/>
      <c r="DM226" s="90"/>
      <c r="DN226" s="90"/>
      <c r="DO226" s="90"/>
      <c r="DP226" s="90"/>
      <c r="DQ226" s="90"/>
      <c r="DR226" s="90"/>
      <c r="DS226" s="90"/>
      <c r="DT226" s="90"/>
      <c r="DU226" s="90"/>
      <c r="DV226" s="90"/>
      <c r="DW226" s="90"/>
      <c r="DX226" s="90"/>
      <c r="DY226" s="90"/>
      <c r="DZ226" s="90"/>
      <c r="EA226" s="90"/>
      <c r="EB226" s="90"/>
      <c r="EC226" s="90"/>
      <c r="ED226" s="90"/>
      <c r="EE226" s="90"/>
      <c r="EF226" s="90"/>
      <c r="EG226" s="90"/>
      <c r="EH226" s="90"/>
      <c r="EI226" s="90"/>
      <c r="EJ226" s="90"/>
      <c r="EK226" s="90"/>
      <c r="EL226" s="90"/>
      <c r="EM226" s="90"/>
      <c r="EN226" s="90"/>
      <c r="EO226" s="90"/>
      <c r="EP226" s="90"/>
      <c r="EQ226" s="90"/>
      <c r="ER226" s="90"/>
    </row>
    <row r="227" spans="2:148" s="84" customFormat="1" ht="24.75" customHeight="1">
      <c r="B227" s="85"/>
      <c r="C227" s="106" t="s">
        <v>143</v>
      </c>
      <c r="D227" s="107"/>
      <c r="E227" s="108"/>
      <c r="F227" s="108"/>
      <c r="G227" s="108"/>
      <c r="H227" s="108"/>
      <c r="I227" s="107"/>
      <c r="J227" s="109"/>
      <c r="K227" s="107"/>
      <c r="L227" s="110"/>
      <c r="M227" s="110"/>
      <c r="N227" s="110"/>
      <c r="O227" s="86"/>
      <c r="P227" s="89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  <c r="CM227" s="90"/>
      <c r="CN227" s="90"/>
      <c r="CO227" s="90"/>
      <c r="CP227" s="90"/>
      <c r="CQ227" s="90"/>
      <c r="CR227" s="90"/>
      <c r="CS227" s="90"/>
      <c r="CT227" s="90"/>
      <c r="CU227" s="90"/>
      <c r="CV227" s="90"/>
      <c r="CW227" s="90"/>
      <c r="CX227" s="90"/>
      <c r="CY227" s="90"/>
      <c r="CZ227" s="90"/>
      <c r="DA227" s="90"/>
      <c r="DB227" s="90"/>
      <c r="DC227" s="90"/>
      <c r="DD227" s="90"/>
      <c r="DE227" s="90"/>
      <c r="DF227" s="90"/>
      <c r="DG227" s="90"/>
      <c r="DH227" s="90"/>
      <c r="DI227" s="90"/>
      <c r="DJ227" s="90"/>
      <c r="DK227" s="90"/>
      <c r="DL227" s="90"/>
      <c r="DM227" s="90"/>
      <c r="DN227" s="90"/>
      <c r="DO227" s="90"/>
      <c r="DP227" s="90"/>
      <c r="DQ227" s="90"/>
      <c r="DR227" s="90"/>
      <c r="DS227" s="90"/>
      <c r="DT227" s="90"/>
      <c r="DU227" s="90"/>
      <c r="DV227" s="90"/>
      <c r="DW227" s="90"/>
      <c r="DX227" s="90"/>
      <c r="DY227" s="90"/>
      <c r="DZ227" s="90"/>
      <c r="EA227" s="90"/>
      <c r="EB227" s="90"/>
      <c r="EC227" s="90"/>
      <c r="ED227" s="90"/>
      <c r="EE227" s="90"/>
      <c r="EF227" s="90"/>
      <c r="EG227" s="90"/>
      <c r="EH227" s="90"/>
      <c r="EI227" s="90"/>
      <c r="EJ227" s="90"/>
      <c r="EK227" s="90"/>
      <c r="EL227" s="90"/>
      <c r="EM227" s="90"/>
      <c r="EN227" s="90"/>
      <c r="EO227" s="90"/>
      <c r="EP227" s="90"/>
      <c r="EQ227" s="90"/>
      <c r="ER227" s="90"/>
    </row>
    <row r="228" spans="2:148" s="84" customFormat="1" ht="24.75" customHeight="1">
      <c r="B228" s="85"/>
      <c r="C228" s="106" t="s">
        <v>144</v>
      </c>
      <c r="D228" s="107"/>
      <c r="E228" s="108"/>
      <c r="F228" s="108"/>
      <c r="G228" s="108"/>
      <c r="H228" s="108"/>
      <c r="I228" s="107"/>
      <c r="J228" s="109"/>
      <c r="K228" s="107"/>
      <c r="L228" s="110"/>
      <c r="M228" s="110"/>
      <c r="N228" s="110"/>
      <c r="O228" s="86"/>
      <c r="P228" s="89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  <c r="CM228" s="90"/>
      <c r="CN228" s="90"/>
      <c r="CO228" s="90"/>
      <c r="CP228" s="90"/>
      <c r="CQ228" s="90"/>
      <c r="CR228" s="90"/>
      <c r="CS228" s="90"/>
      <c r="CT228" s="90"/>
      <c r="CU228" s="90"/>
      <c r="CV228" s="90"/>
      <c r="CW228" s="90"/>
      <c r="CX228" s="90"/>
      <c r="CY228" s="90"/>
      <c r="CZ228" s="90"/>
      <c r="DA228" s="90"/>
      <c r="DB228" s="90"/>
      <c r="DC228" s="90"/>
      <c r="DD228" s="90"/>
      <c r="DE228" s="90"/>
      <c r="DF228" s="90"/>
      <c r="DG228" s="90"/>
      <c r="DH228" s="90"/>
      <c r="DI228" s="90"/>
      <c r="DJ228" s="90"/>
      <c r="DK228" s="90"/>
      <c r="DL228" s="90"/>
      <c r="DM228" s="90"/>
      <c r="DN228" s="90"/>
      <c r="DO228" s="90"/>
      <c r="DP228" s="90"/>
      <c r="DQ228" s="90"/>
      <c r="DR228" s="90"/>
      <c r="DS228" s="90"/>
      <c r="DT228" s="90"/>
      <c r="DU228" s="90"/>
      <c r="DV228" s="90"/>
      <c r="DW228" s="90"/>
      <c r="DX228" s="90"/>
      <c r="DY228" s="90"/>
      <c r="DZ228" s="90"/>
      <c r="EA228" s="90"/>
      <c r="EB228" s="90"/>
      <c r="EC228" s="90"/>
      <c r="ED228" s="90"/>
      <c r="EE228" s="90"/>
      <c r="EF228" s="90"/>
      <c r="EG228" s="90"/>
      <c r="EH228" s="90"/>
      <c r="EI228" s="90"/>
      <c r="EJ228" s="90"/>
      <c r="EK228" s="90"/>
      <c r="EL228" s="90"/>
      <c r="EM228" s="90"/>
      <c r="EN228" s="90"/>
      <c r="EO228" s="90"/>
      <c r="EP228" s="90"/>
      <c r="EQ228" s="90"/>
      <c r="ER228" s="90"/>
    </row>
    <row r="229" spans="2:148" s="84" customFormat="1" ht="24.75" customHeight="1">
      <c r="B229" s="85"/>
      <c r="C229" s="111" t="s">
        <v>145</v>
      </c>
      <c r="D229" s="112"/>
      <c r="E229" s="113"/>
      <c r="F229" s="113"/>
      <c r="G229" s="113"/>
      <c r="H229" s="113"/>
      <c r="I229" s="112"/>
      <c r="J229" s="114"/>
      <c r="K229" s="112"/>
      <c r="L229" s="110"/>
      <c r="M229" s="110"/>
      <c r="N229" s="110"/>
      <c r="O229" s="86"/>
      <c r="P229" s="89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  <c r="CM229" s="90"/>
      <c r="CN229" s="90"/>
      <c r="CO229" s="90"/>
      <c r="CP229" s="90"/>
      <c r="CQ229" s="90"/>
      <c r="CR229" s="90"/>
      <c r="CS229" s="90"/>
      <c r="CT229" s="90"/>
      <c r="CU229" s="90"/>
      <c r="CV229" s="90"/>
      <c r="CW229" s="90"/>
      <c r="CX229" s="90"/>
      <c r="CY229" s="90"/>
      <c r="CZ229" s="90"/>
      <c r="DA229" s="90"/>
      <c r="DB229" s="90"/>
      <c r="DC229" s="90"/>
      <c r="DD229" s="90"/>
      <c r="DE229" s="90"/>
      <c r="DF229" s="90"/>
      <c r="DG229" s="90"/>
      <c r="DH229" s="90"/>
      <c r="DI229" s="90"/>
      <c r="DJ229" s="90"/>
      <c r="DK229" s="90"/>
      <c r="DL229" s="90"/>
      <c r="DM229" s="90"/>
      <c r="DN229" s="90"/>
      <c r="DO229" s="90"/>
      <c r="DP229" s="90"/>
      <c r="DQ229" s="90"/>
      <c r="DR229" s="90"/>
      <c r="DS229" s="90"/>
      <c r="DT229" s="90"/>
      <c r="DU229" s="90"/>
      <c r="DV229" s="90"/>
      <c r="DW229" s="90"/>
      <c r="DX229" s="90"/>
      <c r="DY229" s="90"/>
      <c r="DZ229" s="90"/>
      <c r="EA229" s="90"/>
      <c r="EB229" s="90"/>
      <c r="EC229" s="90"/>
      <c r="ED229" s="90"/>
      <c r="EE229" s="90"/>
      <c r="EF229" s="90"/>
      <c r="EG229" s="90"/>
      <c r="EH229" s="90"/>
      <c r="EI229" s="90"/>
      <c r="EJ229" s="90"/>
      <c r="EK229" s="90"/>
      <c r="EL229" s="90"/>
      <c r="EM229" s="90"/>
      <c r="EN229" s="90"/>
      <c r="EO229" s="90"/>
      <c r="EP229" s="90"/>
      <c r="EQ229" s="90"/>
      <c r="ER229" s="90"/>
    </row>
    <row r="230" spans="2:16" ht="12" customHeight="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7"/>
    </row>
    <row r="232" ht="18.75" customHeight="1"/>
    <row r="234" spans="2:16" ht="3.75" customHeight="1"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3"/>
    </row>
    <row r="235" spans="2:16" ht="27.75" customHeight="1">
      <c r="B235" s="64"/>
      <c r="C235" s="65"/>
      <c r="D235" s="65"/>
      <c r="E235" s="65"/>
      <c r="F235" s="65"/>
      <c r="G235" s="66"/>
      <c r="H235" s="65"/>
      <c r="I235" s="65"/>
      <c r="J235" s="65"/>
      <c r="K235" s="65"/>
      <c r="L235" s="65"/>
      <c r="M235" s="134" t="s">
        <v>122</v>
      </c>
      <c r="N235" s="230"/>
      <c r="O235" s="231"/>
      <c r="P235" s="67"/>
    </row>
    <row r="236" spans="2:148" s="68" customFormat="1" ht="34.5" customHeight="1">
      <c r="B236" s="69"/>
      <c r="C236" s="232">
        <f>IF(M3="","",IF(INDEX(участники!$A$102:$M$963,$M$3+11-100,13)="","",INDEX(участники!$A$102:$M$963,$M$3+11-100,13)))</f>
      </c>
      <c r="D236" s="233"/>
      <c r="E236" s="70"/>
      <c r="F236" s="234"/>
      <c r="G236" s="235"/>
      <c r="H236" s="65"/>
      <c r="I236" s="71"/>
      <c r="J236" s="236">
        <f>IF(M3="","",IF(INDEX(участники!$A$102:$M$963,$M$3+11-100,1)="","",INDEX(участники!$A$102:$M$963,$M$3+11-100,1)))</f>
      </c>
      <c r="K236" s="237"/>
      <c r="L236" s="71"/>
      <c r="M236" s="134" t="s">
        <v>123</v>
      </c>
      <c r="N236" s="130" t="str">
        <f>IF(M3="","",CONCATENATE(IF(INDEX(участники!$A$102:$M$963,$M$3+11-100,3)="","",INDEX(участники!$A$102:$M$963,$M$3+11-100,3)),"  ",IF(INDEX(участники!$A$102:$M$963,$M$3+11-100,3)="","",INDEX(участники!$A$104:$M$963,$M$3+11-100,3))))</f>
        <v>  </v>
      </c>
      <c r="O236" s="72"/>
      <c r="P236" s="73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</row>
    <row r="237" spans="2:148" s="75" customFormat="1" ht="15.75" customHeight="1">
      <c r="B237" s="76"/>
      <c r="C237" s="224" t="s">
        <v>124</v>
      </c>
      <c r="D237" s="224"/>
      <c r="E237" s="77"/>
      <c r="F237" s="225" t="s">
        <v>125</v>
      </c>
      <c r="G237" s="225"/>
      <c r="H237" s="78"/>
      <c r="I237" s="77"/>
      <c r="J237" s="224" t="s">
        <v>126</v>
      </c>
      <c r="K237" s="224"/>
      <c r="L237" s="79"/>
      <c r="M237" s="79"/>
      <c r="N237" s="79"/>
      <c r="O237" s="79"/>
      <c r="P237" s="80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</row>
    <row r="238" spans="2:16" ht="40.5" customHeight="1">
      <c r="B238" s="64"/>
      <c r="C238" s="226">
        <f>IF(M3="","",IF(INDEX(участники!$A$102:$M$962,$M$3+11-100,2)="","",INDEX(участники!$A$102:$M$962,$M$3+11-100,2)))</f>
      </c>
      <c r="D238" s="226"/>
      <c r="E238" s="226"/>
      <c r="F238" s="226"/>
      <c r="G238" s="226"/>
      <c r="H238" s="226"/>
      <c r="I238" s="82"/>
      <c r="J238" s="227">
        <f>IF(M3="","",IF(INDEX(участники!$A$102:$M$962,$M$3+11-100,4)="","",INDEX(участники!$A$102:$M$962,$M$3+11-100,4)))</f>
      </c>
      <c r="K238" s="227"/>
      <c r="L238" s="83"/>
      <c r="M238" s="131">
        <f>IF(M3="","",IF(INDEX(участники!$A$102:$M$962,$M$3+11-100,5)="","",INDEX(участники!$A$102:$M$962,$M$3+11-100,5)))</f>
      </c>
      <c r="N238" s="65"/>
      <c r="O238" s="65"/>
      <c r="P238" s="67"/>
    </row>
    <row r="239" spans="2:148" s="84" customFormat="1" ht="12.75" customHeight="1">
      <c r="B239" s="85"/>
      <c r="C239" s="86" t="s">
        <v>127</v>
      </c>
      <c r="D239" s="86"/>
      <c r="E239" s="86"/>
      <c r="F239" s="86"/>
      <c r="G239" s="86"/>
      <c r="H239" s="86"/>
      <c r="I239" s="86"/>
      <c r="J239" s="228" t="s">
        <v>128</v>
      </c>
      <c r="K239" s="228"/>
      <c r="L239" s="86"/>
      <c r="M239" s="88" t="s">
        <v>129</v>
      </c>
      <c r="N239" s="86"/>
      <c r="O239" s="86"/>
      <c r="P239" s="89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  <c r="CM239" s="90"/>
      <c r="CN239" s="90"/>
      <c r="CO239" s="90"/>
      <c r="CP239" s="90"/>
      <c r="CQ239" s="90"/>
      <c r="CR239" s="90"/>
      <c r="CS239" s="90"/>
      <c r="CT239" s="90"/>
      <c r="CU239" s="90"/>
      <c r="CV239" s="90"/>
      <c r="CW239" s="90"/>
      <c r="CX239" s="90"/>
      <c r="CY239" s="90"/>
      <c r="CZ239" s="90"/>
      <c r="DA239" s="90"/>
      <c r="DB239" s="90"/>
      <c r="DC239" s="90"/>
      <c r="DD239" s="90"/>
      <c r="DE239" s="90"/>
      <c r="DF239" s="90"/>
      <c r="DG239" s="90"/>
      <c r="DH239" s="90"/>
      <c r="DI239" s="90"/>
      <c r="DJ239" s="90"/>
      <c r="DK239" s="90"/>
      <c r="DL239" s="90"/>
      <c r="DM239" s="90"/>
      <c r="DN239" s="90"/>
      <c r="DO239" s="90"/>
      <c r="DP239" s="90"/>
      <c r="DQ239" s="90"/>
      <c r="DR239" s="90"/>
      <c r="DS239" s="90"/>
      <c r="DT239" s="90"/>
      <c r="DU239" s="90"/>
      <c r="DV239" s="90"/>
      <c r="DW239" s="90"/>
      <c r="DX239" s="90"/>
      <c r="DY239" s="90"/>
      <c r="DZ239" s="90"/>
      <c r="EA239" s="90"/>
      <c r="EB239" s="90"/>
      <c r="EC239" s="90"/>
      <c r="ED239" s="90"/>
      <c r="EE239" s="90"/>
      <c r="EF239" s="90"/>
      <c r="EG239" s="90"/>
      <c r="EH239" s="90"/>
      <c r="EI239" s="90"/>
      <c r="EJ239" s="90"/>
      <c r="EK239" s="90"/>
      <c r="EL239" s="90"/>
      <c r="EM239" s="90"/>
      <c r="EN239" s="90"/>
      <c r="EO239" s="90"/>
      <c r="EP239" s="90"/>
      <c r="EQ239" s="90"/>
      <c r="ER239" s="90"/>
    </row>
    <row r="240" spans="2:148" s="91" customFormat="1" ht="35.25" customHeight="1">
      <c r="B240" s="92"/>
      <c r="C240" s="229">
        <f>IF(M3="","",IF(INDEX(участники!$A$102:$M$962,$M$3+11-100,6)="","",INDEX(участники!$A$102:$M$962,$M$3+11-100,6)))</f>
      </c>
      <c r="D240" s="220"/>
      <c r="E240" s="220"/>
      <c r="F240" s="220"/>
      <c r="G240" s="93"/>
      <c r="H240" s="216">
        <f>IF(M3="","",IF(INDEX(участники!$A$102:$M$962,$M$3+11-100,8)="","",INDEX(участники!$A$102:$M$962,$M$3+11-100,8)))</f>
      </c>
      <c r="I240" s="216"/>
      <c r="J240" s="216"/>
      <c r="K240" s="94"/>
      <c r="L240" s="221"/>
      <c r="M240" s="221"/>
      <c r="N240" s="221"/>
      <c r="O240" s="94"/>
      <c r="P240" s="95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</row>
    <row r="241" spans="2:148" s="84" customFormat="1" ht="11.25" customHeight="1">
      <c r="B241" s="85"/>
      <c r="C241" s="86" t="s">
        <v>130</v>
      </c>
      <c r="D241" s="86"/>
      <c r="E241" s="86"/>
      <c r="F241" s="86"/>
      <c r="G241" s="97"/>
      <c r="H241" s="217" t="s">
        <v>131</v>
      </c>
      <c r="I241" s="217"/>
      <c r="J241" s="217"/>
      <c r="K241" s="86"/>
      <c r="L241" s="218"/>
      <c r="M241" s="218"/>
      <c r="N241" s="218"/>
      <c r="O241" s="86"/>
      <c r="P241" s="89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</row>
    <row r="242" spans="2:148" s="91" customFormat="1" ht="24" customHeight="1">
      <c r="B242" s="92"/>
      <c r="C242" s="219">
        <f>IF(M3="","",IF(INDEX(участники!$A$102:$M$962,$M$3+11-100,7)="","",INDEX(участники!$A$102:$M$962,$M$3+11-100,7)))</f>
      </c>
      <c r="D242" s="220"/>
      <c r="E242" s="220"/>
      <c r="F242" s="220"/>
      <c r="G242" s="93"/>
      <c r="H242" s="216">
        <f>IF(M3="","",IF(INDEX(участники!$A$102:$M$962,$M$3+11-100,9)="","",INDEX(участники!$A$102:$M$962,$M$3+11-100,9)))</f>
      </c>
      <c r="I242" s="216"/>
      <c r="J242" s="216"/>
      <c r="K242" s="216"/>
      <c r="L242" s="216"/>
      <c r="M242" s="216"/>
      <c r="N242" s="216"/>
      <c r="O242" s="94"/>
      <c r="P242" s="95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</row>
    <row r="243" spans="2:148" s="84" customFormat="1" ht="9.75" customHeight="1">
      <c r="B243" s="85"/>
      <c r="C243" s="86" t="s">
        <v>132</v>
      </c>
      <c r="D243" s="86"/>
      <c r="E243" s="86"/>
      <c r="F243" s="86"/>
      <c r="G243" s="86"/>
      <c r="H243" s="217" t="s">
        <v>133</v>
      </c>
      <c r="I243" s="217"/>
      <c r="J243" s="217"/>
      <c r="K243" s="217"/>
      <c r="L243" s="217"/>
      <c r="M243" s="217"/>
      <c r="N243" s="86"/>
      <c r="O243" s="86"/>
      <c r="P243" s="89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  <c r="CM243" s="90"/>
      <c r="CN243" s="90"/>
      <c r="CO243" s="90"/>
      <c r="CP243" s="90"/>
      <c r="CQ243" s="90"/>
      <c r="CR243" s="90"/>
      <c r="CS243" s="90"/>
      <c r="CT243" s="90"/>
      <c r="CU243" s="90"/>
      <c r="CV243" s="90"/>
      <c r="CW243" s="90"/>
      <c r="CX243" s="90"/>
      <c r="CY243" s="90"/>
      <c r="CZ243" s="90"/>
      <c r="DA243" s="90"/>
      <c r="DB243" s="90"/>
      <c r="DC243" s="90"/>
      <c r="DD243" s="90"/>
      <c r="DE243" s="90"/>
      <c r="DF243" s="90"/>
      <c r="DG243" s="90"/>
      <c r="DH243" s="90"/>
      <c r="DI243" s="90"/>
      <c r="DJ243" s="90"/>
      <c r="DK243" s="90"/>
      <c r="DL243" s="90"/>
      <c r="DM243" s="90"/>
      <c r="DN243" s="90"/>
      <c r="DO243" s="90"/>
      <c r="DP243" s="90"/>
      <c r="DQ243" s="90"/>
      <c r="DR243" s="90"/>
      <c r="DS243" s="90"/>
      <c r="DT243" s="90"/>
      <c r="DU243" s="90"/>
      <c r="DV243" s="90"/>
      <c r="DW243" s="90"/>
      <c r="DX243" s="90"/>
      <c r="DY243" s="90"/>
      <c r="DZ243" s="90"/>
      <c r="EA243" s="90"/>
      <c r="EB243" s="90"/>
      <c r="EC243" s="90"/>
      <c r="ED243" s="90"/>
      <c r="EE243" s="90"/>
      <c r="EF243" s="90"/>
      <c r="EG243" s="90"/>
      <c r="EH243" s="90"/>
      <c r="EI243" s="90"/>
      <c r="EJ243" s="90"/>
      <c r="EK243" s="90"/>
      <c r="EL243" s="90"/>
      <c r="EM243" s="90"/>
      <c r="EN243" s="90"/>
      <c r="EO243" s="90"/>
      <c r="EP243" s="90"/>
      <c r="EQ243" s="90"/>
      <c r="ER243" s="90"/>
    </row>
    <row r="244" spans="2:148" s="84" customFormat="1" ht="9.75" customHeight="1">
      <c r="B244" s="85"/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9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  <c r="CM244" s="90"/>
      <c r="CN244" s="90"/>
      <c r="CO244" s="90"/>
      <c r="CP244" s="90"/>
      <c r="CQ244" s="90"/>
      <c r="CR244" s="90"/>
      <c r="CS244" s="90"/>
      <c r="CT244" s="90"/>
      <c r="CU244" s="90"/>
      <c r="CV244" s="90"/>
      <c r="CW244" s="90"/>
      <c r="CX244" s="90"/>
      <c r="CY244" s="90"/>
      <c r="CZ244" s="90"/>
      <c r="DA244" s="90"/>
      <c r="DB244" s="90"/>
      <c r="DC244" s="90"/>
      <c r="DD244" s="90"/>
      <c r="DE244" s="90"/>
      <c r="DF244" s="90"/>
      <c r="DG244" s="90"/>
      <c r="DH244" s="90"/>
      <c r="DI244" s="90"/>
      <c r="DJ244" s="90"/>
      <c r="DK244" s="90"/>
      <c r="DL244" s="90"/>
      <c r="DM244" s="90"/>
      <c r="DN244" s="90"/>
      <c r="DO244" s="90"/>
      <c r="DP244" s="90"/>
      <c r="DQ244" s="90"/>
      <c r="DR244" s="90"/>
      <c r="DS244" s="90"/>
      <c r="DT244" s="90"/>
      <c r="DU244" s="90"/>
      <c r="DV244" s="90"/>
      <c r="DW244" s="90"/>
      <c r="DX244" s="90"/>
      <c r="DY244" s="90"/>
      <c r="DZ244" s="90"/>
      <c r="EA244" s="90"/>
      <c r="EB244" s="90"/>
      <c r="EC244" s="90"/>
      <c r="ED244" s="90"/>
      <c r="EE244" s="90"/>
      <c r="EF244" s="90"/>
      <c r="EG244" s="90"/>
      <c r="EH244" s="90"/>
      <c r="EI244" s="90"/>
      <c r="EJ244" s="90"/>
      <c r="EK244" s="90"/>
      <c r="EL244" s="90"/>
      <c r="EM244" s="90"/>
      <c r="EN244" s="90"/>
      <c r="EO244" s="90"/>
      <c r="EP244" s="90"/>
      <c r="EQ244" s="90"/>
      <c r="ER244" s="90"/>
    </row>
    <row r="245" spans="2:16" ht="26.25" customHeight="1">
      <c r="B245" s="64"/>
      <c r="C245" s="214">
        <f>IF(M3="","",IF(INDEX(участники!$A$102:$M$962,$M$3+11-100,10)="","",INDEX(участники!$A$102:$M$962,$M$3+11-100,10)))</f>
      </c>
      <c r="D245" s="215"/>
      <c r="E245" s="215"/>
      <c r="F245" s="215"/>
      <c r="G245" s="215"/>
      <c r="H245" s="215"/>
      <c r="I245" s="215"/>
      <c r="J245" s="215"/>
      <c r="K245" s="65"/>
      <c r="L245" s="132">
        <f>IF(M3="","",IF(INDEX(участники!$A$102:$M$962,$M$3+11-100,11)="","",INDEX(участники!$A$102:$M$962,$M$3+11-100,11)))</f>
      </c>
      <c r="M245" s="98"/>
      <c r="N245" s="132">
        <f>IF(M3="","",IF(INDEX(участники!$A$102:$M$962,$M$3+11-100,12)="","",INDEX(участники!$A$102:$M$962,$M$3+11-100,12)))</f>
      </c>
      <c r="O245" s="65"/>
      <c r="P245" s="67"/>
    </row>
    <row r="246" spans="2:148" s="84" customFormat="1" ht="14.25" customHeight="1">
      <c r="B246" s="85"/>
      <c r="C246" s="86" t="s">
        <v>134</v>
      </c>
      <c r="D246" s="86"/>
      <c r="E246" s="86"/>
      <c r="F246" s="86"/>
      <c r="G246" s="86"/>
      <c r="H246" s="86"/>
      <c r="I246" s="86"/>
      <c r="J246" s="218"/>
      <c r="K246" s="218"/>
      <c r="L246" s="87" t="s">
        <v>135</v>
      </c>
      <c r="M246" s="99"/>
      <c r="N246" s="133" t="s">
        <v>136</v>
      </c>
      <c r="O246" s="86"/>
      <c r="P246" s="89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  <c r="CM246" s="90"/>
      <c r="CN246" s="90"/>
      <c r="CO246" s="90"/>
      <c r="CP246" s="90"/>
      <c r="CQ246" s="90"/>
      <c r="CR246" s="90"/>
      <c r="CS246" s="90"/>
      <c r="CT246" s="90"/>
      <c r="CU246" s="90"/>
      <c r="CV246" s="90"/>
      <c r="CW246" s="90"/>
      <c r="CX246" s="90"/>
      <c r="CY246" s="90"/>
      <c r="CZ246" s="90"/>
      <c r="DA246" s="90"/>
      <c r="DB246" s="90"/>
      <c r="DC246" s="90"/>
      <c r="DD246" s="90"/>
      <c r="DE246" s="90"/>
      <c r="DF246" s="90"/>
      <c r="DG246" s="90"/>
      <c r="DH246" s="90"/>
      <c r="DI246" s="90"/>
      <c r="DJ246" s="90"/>
      <c r="DK246" s="90"/>
      <c r="DL246" s="90"/>
      <c r="DM246" s="90"/>
      <c r="DN246" s="90"/>
      <c r="DO246" s="90"/>
      <c r="DP246" s="90"/>
      <c r="DQ246" s="90"/>
      <c r="DR246" s="90"/>
      <c r="DS246" s="90"/>
      <c r="DT246" s="90"/>
      <c r="DU246" s="90"/>
      <c r="DV246" s="90"/>
      <c r="DW246" s="90"/>
      <c r="DX246" s="90"/>
      <c r="DY246" s="90"/>
      <c r="DZ246" s="90"/>
      <c r="EA246" s="90"/>
      <c r="EB246" s="90"/>
      <c r="EC246" s="90"/>
      <c r="ED246" s="90"/>
      <c r="EE246" s="90"/>
      <c r="EF246" s="90"/>
      <c r="EG246" s="90"/>
      <c r="EH246" s="90"/>
      <c r="EI246" s="90"/>
      <c r="EJ246" s="90"/>
      <c r="EK246" s="90"/>
      <c r="EL246" s="90"/>
      <c r="EM246" s="90"/>
      <c r="EN246" s="90"/>
      <c r="EO246" s="90"/>
      <c r="EP246" s="90"/>
      <c r="EQ246" s="90"/>
      <c r="ER246" s="90"/>
    </row>
    <row r="247" spans="2:148" s="84" customFormat="1" ht="24.75" customHeight="1">
      <c r="B247" s="85"/>
      <c r="C247" s="86"/>
      <c r="D247" s="86"/>
      <c r="E247" s="86"/>
      <c r="F247" s="86"/>
      <c r="G247" s="86"/>
      <c r="H247" s="86"/>
      <c r="I247" s="86"/>
      <c r="J247" s="88"/>
      <c r="K247" s="88"/>
      <c r="L247" s="86"/>
      <c r="M247" s="88"/>
      <c r="N247" s="88"/>
      <c r="O247" s="86"/>
      <c r="P247" s="89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  <c r="CM247" s="90"/>
      <c r="CN247" s="90"/>
      <c r="CO247" s="90"/>
      <c r="CP247" s="90"/>
      <c r="CQ247" s="90"/>
      <c r="CR247" s="90"/>
      <c r="CS247" s="90"/>
      <c r="CT247" s="90"/>
      <c r="CU247" s="90"/>
      <c r="CV247" s="90"/>
      <c r="CW247" s="90"/>
      <c r="CX247" s="90"/>
      <c r="CY247" s="90"/>
      <c r="CZ247" s="90"/>
      <c r="DA247" s="90"/>
      <c r="DB247" s="90"/>
      <c r="DC247" s="90"/>
      <c r="DD247" s="90"/>
      <c r="DE247" s="90"/>
      <c r="DF247" s="90"/>
      <c r="DG247" s="90"/>
      <c r="DH247" s="90"/>
      <c r="DI247" s="90"/>
      <c r="DJ247" s="90"/>
      <c r="DK247" s="90"/>
      <c r="DL247" s="90"/>
      <c r="DM247" s="90"/>
      <c r="DN247" s="90"/>
      <c r="DO247" s="90"/>
      <c r="DP247" s="90"/>
      <c r="DQ247" s="90"/>
      <c r="DR247" s="90"/>
      <c r="DS247" s="90"/>
      <c r="DT247" s="90"/>
      <c r="DU247" s="90"/>
      <c r="DV247" s="90"/>
      <c r="DW247" s="90"/>
      <c r="DX247" s="90"/>
      <c r="DY247" s="90"/>
      <c r="DZ247" s="90"/>
      <c r="EA247" s="90"/>
      <c r="EB247" s="90"/>
      <c r="EC247" s="90"/>
      <c r="ED247" s="90"/>
      <c r="EE247" s="90"/>
      <c r="EF247" s="90"/>
      <c r="EG247" s="90"/>
      <c r="EH247" s="90"/>
      <c r="EI247" s="90"/>
      <c r="EJ247" s="90"/>
      <c r="EK247" s="90"/>
      <c r="EL247" s="90"/>
      <c r="EM247" s="90"/>
      <c r="EN247" s="90"/>
      <c r="EO247" s="90"/>
      <c r="EP247" s="90"/>
      <c r="EQ247" s="90"/>
      <c r="ER247" s="90"/>
    </row>
    <row r="248" spans="2:148" s="84" customFormat="1" ht="17.25" customHeight="1">
      <c r="B248" s="85"/>
      <c r="C248" s="100" t="s">
        <v>137</v>
      </c>
      <c r="D248" s="101"/>
      <c r="E248" s="102"/>
      <c r="F248" s="103" t="s">
        <v>138</v>
      </c>
      <c r="G248" s="102"/>
      <c r="H248" s="102"/>
      <c r="I248" s="104"/>
      <c r="J248" s="222" t="s">
        <v>139</v>
      </c>
      <c r="K248" s="223"/>
      <c r="L248" s="105" t="s">
        <v>140</v>
      </c>
      <c r="M248" s="105" t="s">
        <v>141</v>
      </c>
      <c r="N248" s="105" t="s">
        <v>142</v>
      </c>
      <c r="O248" s="86"/>
      <c r="P248" s="89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  <c r="CM248" s="90"/>
      <c r="CN248" s="90"/>
      <c r="CO248" s="90"/>
      <c r="CP248" s="90"/>
      <c r="CQ248" s="90"/>
      <c r="CR248" s="90"/>
      <c r="CS248" s="90"/>
      <c r="CT248" s="90"/>
      <c r="CU248" s="90"/>
      <c r="CV248" s="90"/>
      <c r="CW248" s="90"/>
      <c r="CX248" s="90"/>
      <c r="CY248" s="90"/>
      <c r="CZ248" s="90"/>
      <c r="DA248" s="90"/>
      <c r="DB248" s="90"/>
      <c r="DC248" s="90"/>
      <c r="DD248" s="90"/>
      <c r="DE248" s="90"/>
      <c r="DF248" s="90"/>
      <c r="DG248" s="90"/>
      <c r="DH248" s="90"/>
      <c r="DI248" s="90"/>
      <c r="DJ248" s="90"/>
      <c r="DK248" s="90"/>
      <c r="DL248" s="90"/>
      <c r="DM248" s="90"/>
      <c r="DN248" s="90"/>
      <c r="DO248" s="90"/>
      <c r="DP248" s="90"/>
      <c r="DQ248" s="90"/>
      <c r="DR248" s="90"/>
      <c r="DS248" s="90"/>
      <c r="DT248" s="90"/>
      <c r="DU248" s="90"/>
      <c r="DV248" s="90"/>
      <c r="DW248" s="90"/>
      <c r="DX248" s="90"/>
      <c r="DY248" s="90"/>
      <c r="DZ248" s="90"/>
      <c r="EA248" s="90"/>
      <c r="EB248" s="90"/>
      <c r="EC248" s="90"/>
      <c r="ED248" s="90"/>
      <c r="EE248" s="90"/>
      <c r="EF248" s="90"/>
      <c r="EG248" s="90"/>
      <c r="EH248" s="90"/>
      <c r="EI248" s="90"/>
      <c r="EJ248" s="90"/>
      <c r="EK248" s="90"/>
      <c r="EL248" s="90"/>
      <c r="EM248" s="90"/>
      <c r="EN248" s="90"/>
      <c r="EO248" s="90"/>
      <c r="EP248" s="90"/>
      <c r="EQ248" s="90"/>
      <c r="ER248" s="90"/>
    </row>
    <row r="249" spans="2:148" s="84" customFormat="1" ht="24.75" customHeight="1">
      <c r="B249" s="85"/>
      <c r="C249" s="106" t="s">
        <v>143</v>
      </c>
      <c r="D249" s="107"/>
      <c r="E249" s="108"/>
      <c r="F249" s="108"/>
      <c r="G249" s="108"/>
      <c r="H249" s="108"/>
      <c r="I249" s="107"/>
      <c r="J249" s="109"/>
      <c r="K249" s="107"/>
      <c r="L249" s="110"/>
      <c r="M249" s="110"/>
      <c r="N249" s="110"/>
      <c r="O249" s="86"/>
      <c r="P249" s="89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  <c r="CM249" s="90"/>
      <c r="CN249" s="90"/>
      <c r="CO249" s="90"/>
      <c r="CP249" s="90"/>
      <c r="CQ249" s="90"/>
      <c r="CR249" s="90"/>
      <c r="CS249" s="90"/>
      <c r="CT249" s="90"/>
      <c r="CU249" s="90"/>
      <c r="CV249" s="90"/>
      <c r="CW249" s="90"/>
      <c r="CX249" s="90"/>
      <c r="CY249" s="90"/>
      <c r="CZ249" s="90"/>
      <c r="DA249" s="90"/>
      <c r="DB249" s="90"/>
      <c r="DC249" s="90"/>
      <c r="DD249" s="90"/>
      <c r="DE249" s="90"/>
      <c r="DF249" s="90"/>
      <c r="DG249" s="90"/>
      <c r="DH249" s="90"/>
      <c r="DI249" s="90"/>
      <c r="DJ249" s="90"/>
      <c r="DK249" s="90"/>
      <c r="DL249" s="90"/>
      <c r="DM249" s="90"/>
      <c r="DN249" s="90"/>
      <c r="DO249" s="90"/>
      <c r="DP249" s="90"/>
      <c r="DQ249" s="90"/>
      <c r="DR249" s="90"/>
      <c r="DS249" s="90"/>
      <c r="DT249" s="90"/>
      <c r="DU249" s="90"/>
      <c r="DV249" s="90"/>
      <c r="DW249" s="90"/>
      <c r="DX249" s="90"/>
      <c r="DY249" s="90"/>
      <c r="DZ249" s="90"/>
      <c r="EA249" s="90"/>
      <c r="EB249" s="90"/>
      <c r="EC249" s="90"/>
      <c r="ED249" s="90"/>
      <c r="EE249" s="90"/>
      <c r="EF249" s="90"/>
      <c r="EG249" s="90"/>
      <c r="EH249" s="90"/>
      <c r="EI249" s="90"/>
      <c r="EJ249" s="90"/>
      <c r="EK249" s="90"/>
      <c r="EL249" s="90"/>
      <c r="EM249" s="90"/>
      <c r="EN249" s="90"/>
      <c r="EO249" s="90"/>
      <c r="EP249" s="90"/>
      <c r="EQ249" s="90"/>
      <c r="ER249" s="90"/>
    </row>
    <row r="250" spans="2:148" s="84" customFormat="1" ht="24.75" customHeight="1">
      <c r="B250" s="85"/>
      <c r="C250" s="106" t="s">
        <v>144</v>
      </c>
      <c r="D250" s="107"/>
      <c r="E250" s="108"/>
      <c r="F250" s="108"/>
      <c r="G250" s="108"/>
      <c r="H250" s="108"/>
      <c r="I250" s="107"/>
      <c r="J250" s="109"/>
      <c r="K250" s="107"/>
      <c r="L250" s="110"/>
      <c r="M250" s="110"/>
      <c r="N250" s="110"/>
      <c r="O250" s="86"/>
      <c r="P250" s="89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</row>
    <row r="251" spans="2:148" s="84" customFormat="1" ht="24.75" customHeight="1">
      <c r="B251" s="85"/>
      <c r="C251" s="111" t="s">
        <v>145</v>
      </c>
      <c r="D251" s="112"/>
      <c r="E251" s="113"/>
      <c r="F251" s="113"/>
      <c r="G251" s="113"/>
      <c r="H251" s="113"/>
      <c r="I251" s="112"/>
      <c r="J251" s="114"/>
      <c r="K251" s="112"/>
      <c r="L251" s="110"/>
      <c r="M251" s="110"/>
      <c r="N251" s="110"/>
      <c r="O251" s="86"/>
      <c r="P251" s="89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</row>
    <row r="252" spans="2:16" ht="12" customHeight="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7"/>
    </row>
    <row r="253" spans="2:16" ht="3.75" customHeight="1"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3"/>
    </row>
    <row r="254" spans="2:16" ht="27.75" customHeight="1">
      <c r="B254" s="64"/>
      <c r="C254" s="65"/>
      <c r="D254" s="65"/>
      <c r="E254" s="65"/>
      <c r="F254" s="65"/>
      <c r="G254" s="66"/>
      <c r="H254" s="65"/>
      <c r="I254" s="65"/>
      <c r="J254" s="65"/>
      <c r="K254" s="65"/>
      <c r="L254" s="65"/>
      <c r="M254" s="134" t="s">
        <v>122</v>
      </c>
      <c r="N254" s="238"/>
      <c r="O254" s="239"/>
      <c r="P254" s="67"/>
    </row>
    <row r="255" spans="2:148" s="68" customFormat="1" ht="34.5" customHeight="1">
      <c r="B255" s="69"/>
      <c r="C255" s="232">
        <f>IF(M3="","",IF(INDEX(участники!$A$102:$M$963,$M$3+12-100,13)="","",INDEX(участники!$A$102:$M$963,$M$3+12-100,13)))</f>
      </c>
      <c r="D255" s="233"/>
      <c r="E255" s="70"/>
      <c r="F255" s="234"/>
      <c r="G255" s="235"/>
      <c r="H255" s="65"/>
      <c r="I255" s="71"/>
      <c r="J255" s="236">
        <f>IF(M3="","",IF(INDEX(участники!$A$102:$M$963,$M$3+12-100,1)="","",INDEX(участники!$A$102:$M$963,$M$3+12-100,1)))</f>
      </c>
      <c r="K255" s="237"/>
      <c r="L255" s="71"/>
      <c r="M255" s="134" t="s">
        <v>123</v>
      </c>
      <c r="N255" s="130" t="str">
        <f>IF(M3="","",CONCATENATE(IF(INDEX(участники!$A$102:$M$963,$M$3+12-100,3)="","",INDEX(участники!$A$102:$M$963,$M$3+12-100,3)),"  ",IF(INDEX(участники!$A$102:$M$963,$M$3+12-100,3)="","",INDEX(участники!$A$104:$M$963,$M$3+12-100,3))))</f>
        <v>  </v>
      </c>
      <c r="O255" s="72"/>
      <c r="P255" s="73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</row>
    <row r="256" spans="2:148" s="75" customFormat="1" ht="15.75" customHeight="1">
      <c r="B256" s="76"/>
      <c r="C256" s="224" t="s">
        <v>124</v>
      </c>
      <c r="D256" s="224"/>
      <c r="E256" s="77"/>
      <c r="F256" s="225" t="s">
        <v>125</v>
      </c>
      <c r="G256" s="225"/>
      <c r="H256" s="78"/>
      <c r="I256" s="77"/>
      <c r="J256" s="224" t="s">
        <v>126</v>
      </c>
      <c r="K256" s="224"/>
      <c r="L256" s="79"/>
      <c r="M256" s="79"/>
      <c r="N256" s="79"/>
      <c r="O256" s="79"/>
      <c r="P256" s="80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  <c r="DK256" s="81"/>
      <c r="DL256" s="81"/>
      <c r="DM256" s="81"/>
      <c r="DN256" s="81"/>
      <c r="DO256" s="81"/>
      <c r="DP256" s="81"/>
      <c r="DQ256" s="81"/>
      <c r="DR256" s="81"/>
      <c r="DS256" s="81"/>
      <c r="DT256" s="81"/>
      <c r="DU256" s="81"/>
      <c r="DV256" s="81"/>
      <c r="DW256" s="81"/>
      <c r="DX256" s="81"/>
      <c r="DY256" s="81"/>
      <c r="DZ256" s="81"/>
      <c r="EA256" s="81"/>
      <c r="EB256" s="81"/>
      <c r="EC256" s="81"/>
      <c r="ED256" s="81"/>
      <c r="EE256" s="81"/>
      <c r="EF256" s="81"/>
      <c r="EG256" s="81"/>
      <c r="EH256" s="81"/>
      <c r="EI256" s="81"/>
      <c r="EJ256" s="81"/>
      <c r="EK256" s="81"/>
      <c r="EL256" s="81"/>
      <c r="EM256" s="81"/>
      <c r="EN256" s="81"/>
      <c r="EO256" s="81"/>
      <c r="EP256" s="81"/>
      <c r="EQ256" s="81"/>
      <c r="ER256" s="81"/>
    </row>
    <row r="257" spans="2:16" ht="40.5" customHeight="1">
      <c r="B257" s="64"/>
      <c r="C257" s="226">
        <f>IF(M3="","",IF(INDEX(участники!$A$102:$M$962,$M$3+12-100,2)="","",INDEX(участники!$A$102:$M$962,$M$3+12-100,2)))</f>
      </c>
      <c r="D257" s="226"/>
      <c r="E257" s="226"/>
      <c r="F257" s="226"/>
      <c r="G257" s="226"/>
      <c r="H257" s="226"/>
      <c r="I257" s="82"/>
      <c r="J257" s="227">
        <f>IF(M3="","",IF(INDEX(участники!$A$102:$M$962,$M$3+12-100,4)="","",INDEX(участники!$A$102:$M$962,$M$3+12-100,4)))</f>
      </c>
      <c r="K257" s="227"/>
      <c r="L257" s="83"/>
      <c r="M257" s="131">
        <f>IF(M3="","",IF(INDEX(участники!$A$102:$M$962,$M$3+12-100,5)="","",INDEX(участники!$A$102:$M$962,$M$3+12-100,5)))</f>
      </c>
      <c r="N257" s="65"/>
      <c r="O257" s="65"/>
      <c r="P257" s="67"/>
    </row>
    <row r="258" spans="2:148" s="84" customFormat="1" ht="12.75" customHeight="1">
      <c r="B258" s="85"/>
      <c r="C258" s="86" t="s">
        <v>127</v>
      </c>
      <c r="D258" s="86"/>
      <c r="E258" s="86"/>
      <c r="F258" s="86"/>
      <c r="G258" s="86"/>
      <c r="H258" s="86"/>
      <c r="I258" s="86"/>
      <c r="J258" s="228" t="s">
        <v>128</v>
      </c>
      <c r="K258" s="228"/>
      <c r="L258" s="86"/>
      <c r="M258" s="88" t="s">
        <v>129</v>
      </c>
      <c r="N258" s="86"/>
      <c r="O258" s="86"/>
      <c r="P258" s="89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0"/>
      <c r="CX258" s="90"/>
      <c r="CY258" s="90"/>
      <c r="CZ258" s="90"/>
      <c r="DA258" s="90"/>
      <c r="DB258" s="90"/>
      <c r="DC258" s="90"/>
      <c r="DD258" s="90"/>
      <c r="DE258" s="90"/>
      <c r="DF258" s="90"/>
      <c r="DG258" s="90"/>
      <c r="DH258" s="90"/>
      <c r="DI258" s="90"/>
      <c r="DJ258" s="90"/>
      <c r="DK258" s="90"/>
      <c r="DL258" s="90"/>
      <c r="DM258" s="90"/>
      <c r="DN258" s="90"/>
      <c r="DO258" s="90"/>
      <c r="DP258" s="90"/>
      <c r="DQ258" s="90"/>
      <c r="DR258" s="90"/>
      <c r="DS258" s="90"/>
      <c r="DT258" s="90"/>
      <c r="DU258" s="90"/>
      <c r="DV258" s="90"/>
      <c r="DW258" s="90"/>
      <c r="DX258" s="90"/>
      <c r="DY258" s="90"/>
      <c r="DZ258" s="90"/>
      <c r="EA258" s="90"/>
      <c r="EB258" s="90"/>
      <c r="EC258" s="90"/>
      <c r="ED258" s="90"/>
      <c r="EE258" s="90"/>
      <c r="EF258" s="90"/>
      <c r="EG258" s="90"/>
      <c r="EH258" s="90"/>
      <c r="EI258" s="90"/>
      <c r="EJ258" s="90"/>
      <c r="EK258" s="90"/>
      <c r="EL258" s="90"/>
      <c r="EM258" s="90"/>
      <c r="EN258" s="90"/>
      <c r="EO258" s="90"/>
      <c r="EP258" s="90"/>
      <c r="EQ258" s="90"/>
      <c r="ER258" s="90"/>
    </row>
    <row r="259" spans="2:148" s="91" customFormat="1" ht="35.25" customHeight="1">
      <c r="B259" s="92"/>
      <c r="C259" s="229">
        <f>IF(M3="","",IF(INDEX(участники!$A$102:$M$962,$M$3+12-100,6)="","",INDEX(участники!$A$102:$M$962,$M$3+12-100,6)))</f>
      </c>
      <c r="D259" s="220"/>
      <c r="E259" s="220"/>
      <c r="F259" s="220"/>
      <c r="G259" s="93"/>
      <c r="H259" s="216">
        <f>IF(M3="","",IF(INDEX(участники!$A$102:$M$962,$M$3+12-100,8)="","",INDEX(участники!$A$102:$M$962,$M$3+12-100,8)))</f>
      </c>
      <c r="I259" s="216"/>
      <c r="J259" s="216"/>
      <c r="K259" s="94"/>
      <c r="L259" s="221"/>
      <c r="M259" s="221"/>
      <c r="N259" s="221"/>
      <c r="O259" s="94"/>
      <c r="P259" s="95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</row>
    <row r="260" spans="2:148" s="84" customFormat="1" ht="11.25" customHeight="1">
      <c r="B260" s="85"/>
      <c r="C260" s="86" t="s">
        <v>130</v>
      </c>
      <c r="D260" s="86"/>
      <c r="E260" s="86"/>
      <c r="F260" s="86"/>
      <c r="G260" s="97"/>
      <c r="H260" s="217" t="s">
        <v>131</v>
      </c>
      <c r="I260" s="217"/>
      <c r="J260" s="217"/>
      <c r="K260" s="86"/>
      <c r="L260" s="218"/>
      <c r="M260" s="218"/>
      <c r="N260" s="218"/>
      <c r="O260" s="86"/>
      <c r="P260" s="89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90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0"/>
      <c r="CX260" s="90"/>
      <c r="CY260" s="90"/>
      <c r="CZ260" s="90"/>
      <c r="DA260" s="90"/>
      <c r="DB260" s="90"/>
      <c r="DC260" s="90"/>
      <c r="DD260" s="90"/>
      <c r="DE260" s="90"/>
      <c r="DF260" s="90"/>
      <c r="DG260" s="90"/>
      <c r="DH260" s="90"/>
      <c r="DI260" s="90"/>
      <c r="DJ260" s="90"/>
      <c r="DK260" s="90"/>
      <c r="DL260" s="90"/>
      <c r="DM260" s="90"/>
      <c r="DN260" s="90"/>
      <c r="DO260" s="90"/>
      <c r="DP260" s="90"/>
      <c r="DQ260" s="90"/>
      <c r="DR260" s="90"/>
      <c r="DS260" s="90"/>
      <c r="DT260" s="90"/>
      <c r="DU260" s="90"/>
      <c r="DV260" s="90"/>
      <c r="DW260" s="90"/>
      <c r="DX260" s="90"/>
      <c r="DY260" s="90"/>
      <c r="DZ260" s="90"/>
      <c r="EA260" s="90"/>
      <c r="EB260" s="90"/>
      <c r="EC260" s="90"/>
      <c r="ED260" s="90"/>
      <c r="EE260" s="90"/>
      <c r="EF260" s="90"/>
      <c r="EG260" s="90"/>
      <c r="EH260" s="90"/>
      <c r="EI260" s="90"/>
      <c r="EJ260" s="90"/>
      <c r="EK260" s="90"/>
      <c r="EL260" s="90"/>
      <c r="EM260" s="90"/>
      <c r="EN260" s="90"/>
      <c r="EO260" s="90"/>
      <c r="EP260" s="90"/>
      <c r="EQ260" s="90"/>
      <c r="ER260" s="90"/>
    </row>
    <row r="261" spans="2:148" s="91" customFormat="1" ht="24" customHeight="1">
      <c r="B261" s="92"/>
      <c r="C261" s="219">
        <f>IF(M3="","",IF(INDEX(участники!$A$102:$M$962,$M$3+12-100,7)="","",INDEX(участники!$A$102:$M$962,$M$3+12-100,7)))</f>
      </c>
      <c r="D261" s="220"/>
      <c r="E261" s="220"/>
      <c r="F261" s="220"/>
      <c r="G261" s="93"/>
      <c r="H261" s="216">
        <f>IF(M3="","",IF(INDEX(участники!$A$102:$M$962,$M$3+12-100,9)="","",INDEX(участники!$A$102:$M$962,$M$3+12-100,9)))</f>
      </c>
      <c r="I261" s="216"/>
      <c r="J261" s="216"/>
      <c r="K261" s="216"/>
      <c r="L261" s="216"/>
      <c r="M261" s="216"/>
      <c r="N261" s="216"/>
      <c r="O261" s="94"/>
      <c r="P261" s="95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</row>
    <row r="262" spans="2:148" s="84" customFormat="1" ht="9.75" customHeight="1">
      <c r="B262" s="85"/>
      <c r="C262" s="86" t="s">
        <v>132</v>
      </c>
      <c r="D262" s="86"/>
      <c r="E262" s="86"/>
      <c r="F262" s="86"/>
      <c r="G262" s="86"/>
      <c r="H262" s="217" t="s">
        <v>133</v>
      </c>
      <c r="I262" s="217"/>
      <c r="J262" s="217"/>
      <c r="K262" s="217"/>
      <c r="L262" s="217"/>
      <c r="M262" s="217"/>
      <c r="N262" s="86"/>
      <c r="O262" s="86"/>
      <c r="P262" s="89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90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0"/>
      <c r="CX262" s="90"/>
      <c r="CY262" s="90"/>
      <c r="CZ262" s="90"/>
      <c r="DA262" s="90"/>
      <c r="DB262" s="90"/>
      <c r="DC262" s="90"/>
      <c r="DD262" s="90"/>
      <c r="DE262" s="90"/>
      <c r="DF262" s="90"/>
      <c r="DG262" s="90"/>
      <c r="DH262" s="90"/>
      <c r="DI262" s="90"/>
      <c r="DJ262" s="90"/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0"/>
      <c r="DV262" s="90"/>
      <c r="DW262" s="90"/>
      <c r="DX262" s="90"/>
      <c r="DY262" s="90"/>
      <c r="DZ262" s="90"/>
      <c r="EA262" s="90"/>
      <c r="EB262" s="90"/>
      <c r="EC262" s="90"/>
      <c r="ED262" s="90"/>
      <c r="EE262" s="90"/>
      <c r="EF262" s="90"/>
      <c r="EG262" s="90"/>
      <c r="EH262" s="90"/>
      <c r="EI262" s="90"/>
      <c r="EJ262" s="90"/>
      <c r="EK262" s="90"/>
      <c r="EL262" s="90"/>
      <c r="EM262" s="90"/>
      <c r="EN262" s="90"/>
      <c r="EO262" s="90"/>
      <c r="EP262" s="90"/>
      <c r="EQ262" s="90"/>
      <c r="ER262" s="90"/>
    </row>
    <row r="263" spans="2:148" s="84" customFormat="1" ht="9.75" customHeight="1">
      <c r="B263" s="85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9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0"/>
      <c r="CX263" s="90"/>
      <c r="CY263" s="90"/>
      <c r="CZ263" s="90"/>
      <c r="DA263" s="90"/>
      <c r="DB263" s="90"/>
      <c r="DC263" s="90"/>
      <c r="DD263" s="90"/>
      <c r="DE263" s="90"/>
      <c r="DF263" s="90"/>
      <c r="DG263" s="90"/>
      <c r="DH263" s="90"/>
      <c r="DI263" s="90"/>
      <c r="DJ263" s="90"/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0"/>
      <c r="DV263" s="90"/>
      <c r="DW263" s="90"/>
      <c r="DX263" s="90"/>
      <c r="DY263" s="90"/>
      <c r="DZ263" s="90"/>
      <c r="EA263" s="90"/>
      <c r="EB263" s="90"/>
      <c r="EC263" s="90"/>
      <c r="ED263" s="90"/>
      <c r="EE263" s="90"/>
      <c r="EF263" s="90"/>
      <c r="EG263" s="90"/>
      <c r="EH263" s="90"/>
      <c r="EI263" s="90"/>
      <c r="EJ263" s="90"/>
      <c r="EK263" s="90"/>
      <c r="EL263" s="90"/>
      <c r="EM263" s="90"/>
      <c r="EN263" s="90"/>
      <c r="EO263" s="90"/>
      <c r="EP263" s="90"/>
      <c r="EQ263" s="90"/>
      <c r="ER263" s="90"/>
    </row>
    <row r="264" spans="2:16" ht="26.25" customHeight="1">
      <c r="B264" s="64"/>
      <c r="C264" s="214">
        <f>IF(M3="","",IF(INDEX(участники!$A$102:$M$962,$M$3+12-100,10)="","",INDEX(участники!$A$102:$M$962,$M$3+12-100,10)))</f>
      </c>
      <c r="D264" s="215"/>
      <c r="E264" s="215"/>
      <c r="F264" s="215"/>
      <c r="G264" s="215"/>
      <c r="H264" s="215"/>
      <c r="I264" s="215"/>
      <c r="J264" s="215"/>
      <c r="K264" s="65"/>
      <c r="L264" s="132">
        <f>IF(M3="","",IF(INDEX(участники!$A$102:$M$962,$M$3+12-100,11)="","",INDEX(участники!$A$102:$M$962,$M$3+12-100,11)))</f>
      </c>
      <c r="M264" s="98"/>
      <c r="N264" s="132">
        <f>IF(M3="","",IF(INDEX(участники!$A$102:$M$962,$M$3+12-100,12)="","",INDEX(участники!$A$102:$M$962,$M$3+12-100,12)))</f>
      </c>
      <c r="O264" s="65"/>
      <c r="P264" s="67"/>
    </row>
    <row r="265" spans="2:148" s="84" customFormat="1" ht="14.25" customHeight="1">
      <c r="B265" s="85"/>
      <c r="C265" s="86" t="s">
        <v>134</v>
      </c>
      <c r="D265" s="86"/>
      <c r="E265" s="86"/>
      <c r="F265" s="86"/>
      <c r="G265" s="86"/>
      <c r="H265" s="86"/>
      <c r="I265" s="86"/>
      <c r="J265" s="218"/>
      <c r="K265" s="218"/>
      <c r="L265" s="87" t="s">
        <v>135</v>
      </c>
      <c r="M265" s="99"/>
      <c r="N265" s="133" t="s">
        <v>136</v>
      </c>
      <c r="O265" s="86"/>
      <c r="P265" s="89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/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/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/>
      <c r="EL265" s="90"/>
      <c r="EM265" s="90"/>
      <c r="EN265" s="90"/>
      <c r="EO265" s="90"/>
      <c r="EP265" s="90"/>
      <c r="EQ265" s="90"/>
      <c r="ER265" s="90"/>
    </row>
    <row r="266" spans="2:148" s="84" customFormat="1" ht="24.75" customHeight="1">
      <c r="B266" s="85"/>
      <c r="C266" s="86"/>
      <c r="D266" s="86"/>
      <c r="E266" s="86"/>
      <c r="F266" s="86"/>
      <c r="G266" s="86"/>
      <c r="H266" s="86"/>
      <c r="I266" s="86"/>
      <c r="J266" s="88"/>
      <c r="K266" s="88"/>
      <c r="L266" s="86"/>
      <c r="M266" s="88"/>
      <c r="N266" s="88"/>
      <c r="O266" s="86"/>
      <c r="P266" s="89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90"/>
      <c r="CM266" s="90"/>
      <c r="CN266" s="90"/>
      <c r="CO266" s="90"/>
      <c r="CP266" s="90"/>
      <c r="CQ266" s="90"/>
      <c r="CR266" s="90"/>
      <c r="CS266" s="90"/>
      <c r="CT266" s="90"/>
      <c r="CU266" s="90"/>
      <c r="CV266" s="90"/>
      <c r="CW266" s="90"/>
      <c r="CX266" s="90"/>
      <c r="CY266" s="90"/>
      <c r="CZ266" s="90"/>
      <c r="DA266" s="90"/>
      <c r="DB266" s="90"/>
      <c r="DC266" s="90"/>
      <c r="DD266" s="90"/>
      <c r="DE266" s="90"/>
      <c r="DF266" s="90"/>
      <c r="DG266" s="90"/>
      <c r="DH266" s="90"/>
      <c r="DI266" s="90"/>
      <c r="DJ266" s="90"/>
      <c r="DK266" s="90"/>
      <c r="DL266" s="90"/>
      <c r="DM266" s="90"/>
      <c r="DN266" s="90"/>
      <c r="DO266" s="90"/>
      <c r="DP266" s="90"/>
      <c r="DQ266" s="90"/>
      <c r="DR266" s="90"/>
      <c r="DS266" s="90"/>
      <c r="DT266" s="90"/>
      <c r="DU266" s="90"/>
      <c r="DV266" s="90"/>
      <c r="DW266" s="90"/>
      <c r="DX266" s="90"/>
      <c r="DY266" s="90"/>
      <c r="DZ266" s="90"/>
      <c r="EA266" s="90"/>
      <c r="EB266" s="90"/>
      <c r="EC266" s="90"/>
      <c r="ED266" s="90"/>
      <c r="EE266" s="90"/>
      <c r="EF266" s="90"/>
      <c r="EG266" s="90"/>
      <c r="EH266" s="90"/>
      <c r="EI266" s="90"/>
      <c r="EJ266" s="90"/>
      <c r="EK266" s="90"/>
      <c r="EL266" s="90"/>
      <c r="EM266" s="90"/>
      <c r="EN266" s="90"/>
      <c r="EO266" s="90"/>
      <c r="EP266" s="90"/>
      <c r="EQ266" s="90"/>
      <c r="ER266" s="90"/>
    </row>
    <row r="267" spans="2:148" s="84" customFormat="1" ht="17.25" customHeight="1">
      <c r="B267" s="85"/>
      <c r="C267" s="100" t="s">
        <v>137</v>
      </c>
      <c r="D267" s="101"/>
      <c r="E267" s="102"/>
      <c r="F267" s="103" t="s">
        <v>138</v>
      </c>
      <c r="G267" s="102"/>
      <c r="H267" s="102"/>
      <c r="I267" s="104"/>
      <c r="J267" s="222" t="s">
        <v>139</v>
      </c>
      <c r="K267" s="223"/>
      <c r="L267" s="105" t="s">
        <v>140</v>
      </c>
      <c r="M267" s="105" t="s">
        <v>141</v>
      </c>
      <c r="N267" s="105" t="s">
        <v>142</v>
      </c>
      <c r="O267" s="86"/>
      <c r="P267" s="89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0"/>
      <c r="DS267" s="90"/>
      <c r="DT267" s="90"/>
      <c r="DU267" s="90"/>
      <c r="DV267" s="90"/>
      <c r="DW267" s="90"/>
      <c r="DX267" s="90"/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0"/>
      <c r="EK267" s="90"/>
      <c r="EL267" s="90"/>
      <c r="EM267" s="90"/>
      <c r="EN267" s="90"/>
      <c r="EO267" s="90"/>
      <c r="EP267" s="90"/>
      <c r="EQ267" s="90"/>
      <c r="ER267" s="90"/>
    </row>
    <row r="268" spans="2:148" s="84" customFormat="1" ht="24.75" customHeight="1">
      <c r="B268" s="85"/>
      <c r="C268" s="106" t="s">
        <v>143</v>
      </c>
      <c r="D268" s="107"/>
      <c r="E268" s="108"/>
      <c r="F268" s="108"/>
      <c r="G268" s="108"/>
      <c r="H268" s="108"/>
      <c r="I268" s="107"/>
      <c r="J268" s="109"/>
      <c r="K268" s="107"/>
      <c r="L268" s="110"/>
      <c r="M268" s="110"/>
      <c r="N268" s="110"/>
      <c r="O268" s="86"/>
      <c r="P268" s="89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0"/>
      <c r="CO268" s="90"/>
      <c r="CP268" s="90"/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  <c r="DE268" s="90"/>
      <c r="DF268" s="90"/>
      <c r="DG268" s="90"/>
      <c r="DH268" s="90"/>
      <c r="DI268" s="90"/>
      <c r="DJ268" s="90"/>
      <c r="DK268" s="90"/>
      <c r="DL268" s="90"/>
      <c r="DM268" s="90"/>
      <c r="DN268" s="90"/>
      <c r="DO268" s="90"/>
      <c r="DP268" s="90"/>
      <c r="DQ268" s="90"/>
      <c r="DR268" s="90"/>
      <c r="DS268" s="90"/>
      <c r="DT268" s="90"/>
      <c r="DU268" s="90"/>
      <c r="DV268" s="90"/>
      <c r="DW268" s="90"/>
      <c r="DX268" s="90"/>
      <c r="DY268" s="90"/>
      <c r="DZ268" s="90"/>
      <c r="EA268" s="90"/>
      <c r="EB268" s="90"/>
      <c r="EC268" s="90"/>
      <c r="ED268" s="90"/>
      <c r="EE268" s="90"/>
      <c r="EF268" s="90"/>
      <c r="EG268" s="90"/>
      <c r="EH268" s="90"/>
      <c r="EI268" s="90"/>
      <c r="EJ268" s="90"/>
      <c r="EK268" s="90"/>
      <c r="EL268" s="90"/>
      <c r="EM268" s="90"/>
      <c r="EN268" s="90"/>
      <c r="EO268" s="90"/>
      <c r="EP268" s="90"/>
      <c r="EQ268" s="90"/>
      <c r="ER268" s="90"/>
    </row>
    <row r="269" spans="2:148" s="84" customFormat="1" ht="24.75" customHeight="1">
      <c r="B269" s="85"/>
      <c r="C269" s="106" t="s">
        <v>144</v>
      </c>
      <c r="D269" s="107"/>
      <c r="E269" s="108"/>
      <c r="F269" s="108"/>
      <c r="G269" s="108"/>
      <c r="H269" s="108"/>
      <c r="I269" s="107"/>
      <c r="J269" s="109"/>
      <c r="K269" s="107"/>
      <c r="L269" s="110"/>
      <c r="M269" s="110"/>
      <c r="N269" s="110"/>
      <c r="O269" s="86"/>
      <c r="P269" s="89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90"/>
      <c r="CM269" s="90"/>
      <c r="CN269" s="90"/>
      <c r="CO269" s="90"/>
      <c r="CP269" s="90"/>
      <c r="CQ269" s="90"/>
      <c r="CR269" s="90"/>
      <c r="CS269" s="90"/>
      <c r="CT269" s="90"/>
      <c r="CU269" s="90"/>
      <c r="CV269" s="90"/>
      <c r="CW269" s="90"/>
      <c r="CX269" s="90"/>
      <c r="CY269" s="90"/>
      <c r="CZ269" s="90"/>
      <c r="DA269" s="90"/>
      <c r="DB269" s="90"/>
      <c r="DC269" s="90"/>
      <c r="DD269" s="90"/>
      <c r="DE269" s="90"/>
      <c r="DF269" s="90"/>
      <c r="DG269" s="90"/>
      <c r="DH269" s="90"/>
      <c r="DI269" s="90"/>
      <c r="DJ269" s="90"/>
      <c r="DK269" s="90"/>
      <c r="DL269" s="90"/>
      <c r="DM269" s="90"/>
      <c r="DN269" s="90"/>
      <c r="DO269" s="90"/>
      <c r="DP269" s="90"/>
      <c r="DQ269" s="90"/>
      <c r="DR269" s="90"/>
      <c r="DS269" s="90"/>
      <c r="DT269" s="90"/>
      <c r="DU269" s="90"/>
      <c r="DV269" s="90"/>
      <c r="DW269" s="90"/>
      <c r="DX269" s="90"/>
      <c r="DY269" s="90"/>
      <c r="DZ269" s="90"/>
      <c r="EA269" s="90"/>
      <c r="EB269" s="90"/>
      <c r="EC269" s="90"/>
      <c r="ED269" s="90"/>
      <c r="EE269" s="90"/>
      <c r="EF269" s="90"/>
      <c r="EG269" s="90"/>
      <c r="EH269" s="90"/>
      <c r="EI269" s="90"/>
      <c r="EJ269" s="90"/>
      <c r="EK269" s="90"/>
      <c r="EL269" s="90"/>
      <c r="EM269" s="90"/>
      <c r="EN269" s="90"/>
      <c r="EO269" s="90"/>
      <c r="EP269" s="90"/>
      <c r="EQ269" s="90"/>
      <c r="ER269" s="90"/>
    </row>
    <row r="270" spans="2:148" s="84" customFormat="1" ht="24.75" customHeight="1">
      <c r="B270" s="85"/>
      <c r="C270" s="111" t="s">
        <v>145</v>
      </c>
      <c r="D270" s="112"/>
      <c r="E270" s="113"/>
      <c r="F270" s="113"/>
      <c r="G270" s="113"/>
      <c r="H270" s="113"/>
      <c r="I270" s="112"/>
      <c r="J270" s="114"/>
      <c r="K270" s="112"/>
      <c r="L270" s="110"/>
      <c r="M270" s="110"/>
      <c r="N270" s="110"/>
      <c r="O270" s="86"/>
      <c r="P270" s="89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90"/>
      <c r="CB270" s="90"/>
      <c r="CC270" s="90"/>
      <c r="CD270" s="90"/>
      <c r="CE270" s="90"/>
      <c r="CF270" s="90"/>
      <c r="CG270" s="90"/>
      <c r="CH270" s="90"/>
      <c r="CI270" s="90"/>
      <c r="CJ270" s="90"/>
      <c r="CK270" s="90"/>
      <c r="CL270" s="90"/>
      <c r="CM270" s="90"/>
      <c r="CN270" s="90"/>
      <c r="CO270" s="90"/>
      <c r="CP270" s="90"/>
      <c r="CQ270" s="90"/>
      <c r="CR270" s="90"/>
      <c r="CS270" s="90"/>
      <c r="CT270" s="90"/>
      <c r="CU270" s="90"/>
      <c r="CV270" s="90"/>
      <c r="CW270" s="90"/>
      <c r="CX270" s="90"/>
      <c r="CY270" s="90"/>
      <c r="CZ270" s="90"/>
      <c r="DA270" s="90"/>
      <c r="DB270" s="90"/>
      <c r="DC270" s="90"/>
      <c r="DD270" s="90"/>
      <c r="DE270" s="90"/>
      <c r="DF270" s="90"/>
      <c r="DG270" s="90"/>
      <c r="DH270" s="90"/>
      <c r="DI270" s="90"/>
      <c r="DJ270" s="90"/>
      <c r="DK270" s="90"/>
      <c r="DL270" s="90"/>
      <c r="DM270" s="90"/>
      <c r="DN270" s="90"/>
      <c r="DO270" s="90"/>
      <c r="DP270" s="90"/>
      <c r="DQ270" s="90"/>
      <c r="DR270" s="90"/>
      <c r="DS270" s="90"/>
      <c r="DT270" s="90"/>
      <c r="DU270" s="90"/>
      <c r="DV270" s="90"/>
      <c r="DW270" s="90"/>
      <c r="DX270" s="90"/>
      <c r="DY270" s="90"/>
      <c r="DZ270" s="90"/>
      <c r="EA270" s="90"/>
      <c r="EB270" s="90"/>
      <c r="EC270" s="90"/>
      <c r="ED270" s="90"/>
      <c r="EE270" s="90"/>
      <c r="EF270" s="90"/>
      <c r="EG270" s="90"/>
      <c r="EH270" s="90"/>
      <c r="EI270" s="90"/>
      <c r="EJ270" s="90"/>
      <c r="EK270" s="90"/>
      <c r="EL270" s="90"/>
      <c r="EM270" s="90"/>
      <c r="EN270" s="90"/>
      <c r="EO270" s="90"/>
      <c r="EP270" s="90"/>
      <c r="EQ270" s="90"/>
      <c r="ER270" s="90"/>
    </row>
    <row r="271" spans="2:16" ht="12" customHeight="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7"/>
    </row>
    <row r="273" ht="18.75" customHeight="1"/>
    <row r="275" spans="2:16" ht="3.75" customHeight="1"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3"/>
    </row>
    <row r="276" spans="2:16" ht="27.75" customHeight="1">
      <c r="B276" s="64"/>
      <c r="C276" s="65"/>
      <c r="D276" s="65"/>
      <c r="E276" s="65"/>
      <c r="F276" s="65"/>
      <c r="G276" s="66"/>
      <c r="H276" s="65"/>
      <c r="I276" s="65"/>
      <c r="J276" s="65"/>
      <c r="K276" s="65"/>
      <c r="L276" s="65"/>
      <c r="M276" s="134" t="s">
        <v>122</v>
      </c>
      <c r="N276" s="230"/>
      <c r="O276" s="231"/>
      <c r="P276" s="67"/>
    </row>
    <row r="277" spans="2:148" s="68" customFormat="1" ht="34.5" customHeight="1">
      <c r="B277" s="69"/>
      <c r="C277" s="232">
        <f>IF(M3="","",IF(INDEX(участники!$A$102:$M$963,$M$3+13-100,13)="","",INDEX(участники!$A$102:$M$963,$M$3+13-100,13)))</f>
      </c>
      <c r="D277" s="233"/>
      <c r="E277" s="70"/>
      <c r="F277" s="234"/>
      <c r="G277" s="235"/>
      <c r="H277" s="65"/>
      <c r="I277" s="71"/>
      <c r="J277" s="236">
        <f>IF(M3="","",IF(INDEX(участники!$A$102:$M$963,$M$3+13-100,1)="","",INDEX(участники!$A$102:$M$963,$M$3+13-100,1)))</f>
      </c>
      <c r="K277" s="237"/>
      <c r="L277" s="71"/>
      <c r="M277" s="134" t="s">
        <v>123</v>
      </c>
      <c r="N277" s="130" t="str">
        <f>IF(M3="","",CONCATENATE(IF(INDEX(участники!$A$102:$M$963,$M$3+13-100,3)="","",INDEX(участники!$A$102:$M$963,$M$3+13-100,3)),"  ",IF(INDEX(участники!$A$102:$M$963,$M$3+13-100,3)="","",INDEX(участники!$A$104:$M$963,$M$3+13-100,3))))</f>
        <v>  </v>
      </c>
      <c r="O277" s="72"/>
      <c r="P277" s="73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74"/>
      <c r="CF277" s="74"/>
      <c r="CG277" s="74"/>
      <c r="CH277" s="74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</row>
    <row r="278" spans="2:148" s="75" customFormat="1" ht="15.75" customHeight="1">
      <c r="B278" s="76"/>
      <c r="C278" s="224" t="s">
        <v>124</v>
      </c>
      <c r="D278" s="224"/>
      <c r="E278" s="77"/>
      <c r="F278" s="225" t="s">
        <v>125</v>
      </c>
      <c r="G278" s="225"/>
      <c r="H278" s="78"/>
      <c r="I278" s="77"/>
      <c r="J278" s="224" t="s">
        <v>126</v>
      </c>
      <c r="K278" s="224"/>
      <c r="L278" s="79"/>
      <c r="M278" s="79"/>
      <c r="N278" s="79"/>
      <c r="O278" s="79"/>
      <c r="P278" s="80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  <c r="DK278" s="81"/>
      <c r="DL278" s="81"/>
      <c r="DM278" s="81"/>
      <c r="DN278" s="81"/>
      <c r="DO278" s="81"/>
      <c r="DP278" s="81"/>
      <c r="DQ278" s="81"/>
      <c r="DR278" s="81"/>
      <c r="DS278" s="81"/>
      <c r="DT278" s="81"/>
      <c r="DU278" s="81"/>
      <c r="DV278" s="81"/>
      <c r="DW278" s="81"/>
      <c r="DX278" s="81"/>
      <c r="DY278" s="81"/>
      <c r="DZ278" s="81"/>
      <c r="EA278" s="81"/>
      <c r="EB278" s="81"/>
      <c r="EC278" s="81"/>
      <c r="ED278" s="81"/>
      <c r="EE278" s="81"/>
      <c r="EF278" s="81"/>
      <c r="EG278" s="81"/>
      <c r="EH278" s="81"/>
      <c r="EI278" s="81"/>
      <c r="EJ278" s="81"/>
      <c r="EK278" s="81"/>
      <c r="EL278" s="81"/>
      <c r="EM278" s="81"/>
      <c r="EN278" s="81"/>
      <c r="EO278" s="81"/>
      <c r="EP278" s="81"/>
      <c r="EQ278" s="81"/>
      <c r="ER278" s="81"/>
    </row>
    <row r="279" spans="2:16" ht="40.5" customHeight="1">
      <c r="B279" s="64"/>
      <c r="C279" s="226">
        <f>IF(M3="","",IF(INDEX(участники!$A$102:$M$962,$M$3+13-100,2)="","",INDEX(участники!$A$102:$M$962,$M$3+13-100,2)))</f>
      </c>
      <c r="D279" s="226"/>
      <c r="E279" s="226"/>
      <c r="F279" s="226"/>
      <c r="G279" s="226"/>
      <c r="H279" s="226"/>
      <c r="I279" s="82"/>
      <c r="J279" s="227">
        <f>IF(M3="","",IF(INDEX(участники!$A$102:$M$962,$M$3+13-100,4)="","",INDEX(участники!$A$102:$M$962,$M$3+13-100,4)))</f>
      </c>
      <c r="K279" s="227"/>
      <c r="L279" s="83"/>
      <c r="M279" s="131">
        <f>IF(M3="","",IF(INDEX(участники!$A$102:$M$962,$M$3+13-100,5)="","",INDEX(участники!$A$102:$M$962,$M$3+13-100,5)))</f>
      </c>
      <c r="N279" s="65"/>
      <c r="O279" s="65"/>
      <c r="P279" s="67"/>
    </row>
    <row r="280" spans="2:148" s="84" customFormat="1" ht="12.75" customHeight="1">
      <c r="B280" s="85"/>
      <c r="C280" s="86" t="s">
        <v>127</v>
      </c>
      <c r="D280" s="86"/>
      <c r="E280" s="86"/>
      <c r="F280" s="86"/>
      <c r="G280" s="86"/>
      <c r="H280" s="86"/>
      <c r="I280" s="86"/>
      <c r="J280" s="228" t="s">
        <v>128</v>
      </c>
      <c r="K280" s="228"/>
      <c r="L280" s="86"/>
      <c r="M280" s="88" t="s">
        <v>129</v>
      </c>
      <c r="N280" s="86"/>
      <c r="O280" s="86"/>
      <c r="P280" s="89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</row>
    <row r="281" spans="2:148" s="91" customFormat="1" ht="35.25" customHeight="1">
      <c r="B281" s="92"/>
      <c r="C281" s="229">
        <f>IF(M3="","",IF(INDEX(участники!$A$102:$M$962,$M$3+13-100,6)="","",INDEX(участники!$A$102:$M$962,$M$3+13-100,6)))</f>
      </c>
      <c r="D281" s="220"/>
      <c r="E281" s="220"/>
      <c r="F281" s="220"/>
      <c r="G281" s="93"/>
      <c r="H281" s="216">
        <f>IF(M3="","",IF(INDEX(участники!$A$102:$M$962,$M$3+13-100,8)="","",INDEX(участники!$A$102:$M$962,$M$3+13-100,8)))</f>
      </c>
      <c r="I281" s="216"/>
      <c r="J281" s="216"/>
      <c r="K281" s="94"/>
      <c r="L281" s="221"/>
      <c r="M281" s="221"/>
      <c r="N281" s="221"/>
      <c r="O281" s="94"/>
      <c r="P281" s="95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/>
      <c r="AE281" s="96"/>
      <c r="AF281" s="96"/>
      <c r="AG281" s="96"/>
      <c r="AH281" s="96"/>
      <c r="AI281" s="96"/>
      <c r="AJ281" s="96"/>
      <c r="AK281" s="96"/>
      <c r="AL281" s="96"/>
      <c r="AM281" s="96"/>
      <c r="AN281" s="96"/>
      <c r="AO281" s="96"/>
      <c r="AP281" s="96"/>
      <c r="AQ281" s="96"/>
      <c r="AR281" s="96"/>
      <c r="AS281" s="96"/>
      <c r="AT281" s="96"/>
      <c r="AU281" s="96"/>
      <c r="AV281" s="96"/>
      <c r="AW281" s="96"/>
      <c r="AX281" s="96"/>
      <c r="AY281" s="96"/>
      <c r="AZ281" s="96"/>
      <c r="BA281" s="96"/>
      <c r="BB281" s="96"/>
      <c r="BC281" s="96"/>
      <c r="BD281" s="96"/>
      <c r="BE281" s="96"/>
      <c r="BF281" s="96"/>
      <c r="BG281" s="96"/>
      <c r="BH281" s="96"/>
      <c r="BI281" s="96"/>
      <c r="BJ281" s="96"/>
      <c r="BK281" s="96"/>
      <c r="BL281" s="96"/>
      <c r="BM281" s="96"/>
      <c r="BN281" s="96"/>
      <c r="BO281" s="96"/>
      <c r="BP281" s="96"/>
      <c r="BQ281" s="96"/>
      <c r="BR281" s="96"/>
      <c r="BS281" s="96"/>
      <c r="BT281" s="96"/>
      <c r="BU281" s="96"/>
      <c r="BV281" s="96"/>
      <c r="BW281" s="96"/>
      <c r="BX281" s="96"/>
      <c r="BY281" s="96"/>
      <c r="BZ281" s="96"/>
      <c r="CA281" s="96"/>
      <c r="CB281" s="96"/>
      <c r="CC281" s="96"/>
      <c r="CD281" s="96"/>
      <c r="CE281" s="96"/>
      <c r="CF281" s="96"/>
      <c r="CG281" s="96"/>
      <c r="CH281" s="96"/>
      <c r="CI281" s="96"/>
      <c r="CJ281" s="96"/>
      <c r="CK281" s="96"/>
      <c r="CL281" s="96"/>
      <c r="CM281" s="96"/>
      <c r="CN281" s="96"/>
      <c r="CO281" s="96"/>
      <c r="CP281" s="96"/>
      <c r="CQ281" s="96"/>
      <c r="CR281" s="96"/>
      <c r="CS281" s="96"/>
      <c r="CT281" s="96"/>
      <c r="CU281" s="96"/>
      <c r="CV281" s="96"/>
      <c r="CW281" s="96"/>
      <c r="CX281" s="96"/>
      <c r="CY281" s="96"/>
      <c r="CZ281" s="96"/>
      <c r="DA281" s="96"/>
      <c r="DB281" s="96"/>
      <c r="DC281" s="96"/>
      <c r="DD281" s="96"/>
      <c r="DE281" s="96"/>
      <c r="DF281" s="96"/>
      <c r="DG281" s="96"/>
      <c r="DH281" s="96"/>
      <c r="DI281" s="96"/>
      <c r="DJ281" s="96"/>
      <c r="DK281" s="96"/>
      <c r="DL281" s="96"/>
      <c r="DM281" s="96"/>
      <c r="DN281" s="96"/>
      <c r="DO281" s="96"/>
      <c r="DP281" s="96"/>
      <c r="DQ281" s="96"/>
      <c r="DR281" s="96"/>
      <c r="DS281" s="96"/>
      <c r="DT281" s="96"/>
      <c r="DU281" s="96"/>
      <c r="DV281" s="96"/>
      <c r="DW281" s="96"/>
      <c r="DX281" s="96"/>
      <c r="DY281" s="96"/>
      <c r="DZ281" s="96"/>
      <c r="EA281" s="96"/>
      <c r="EB281" s="96"/>
      <c r="EC281" s="96"/>
      <c r="ED281" s="96"/>
      <c r="EE281" s="96"/>
      <c r="EF281" s="96"/>
      <c r="EG281" s="96"/>
      <c r="EH281" s="96"/>
      <c r="EI281" s="96"/>
      <c r="EJ281" s="96"/>
      <c r="EK281" s="96"/>
      <c r="EL281" s="96"/>
      <c r="EM281" s="96"/>
      <c r="EN281" s="96"/>
      <c r="EO281" s="96"/>
      <c r="EP281" s="96"/>
      <c r="EQ281" s="96"/>
      <c r="ER281" s="96"/>
    </row>
    <row r="282" spans="2:148" s="84" customFormat="1" ht="11.25" customHeight="1">
      <c r="B282" s="85"/>
      <c r="C282" s="86" t="s">
        <v>130</v>
      </c>
      <c r="D282" s="86"/>
      <c r="E282" s="86"/>
      <c r="F282" s="86"/>
      <c r="G282" s="97"/>
      <c r="H282" s="217" t="s">
        <v>131</v>
      </c>
      <c r="I282" s="217"/>
      <c r="J282" s="217"/>
      <c r="K282" s="86"/>
      <c r="L282" s="218"/>
      <c r="M282" s="218"/>
      <c r="N282" s="218"/>
      <c r="O282" s="86"/>
      <c r="P282" s="89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  <c r="CM282" s="90"/>
      <c r="CN282" s="90"/>
      <c r="CO282" s="90"/>
      <c r="CP282" s="90"/>
      <c r="CQ282" s="90"/>
      <c r="CR282" s="90"/>
      <c r="CS282" s="90"/>
      <c r="CT282" s="90"/>
      <c r="CU282" s="90"/>
      <c r="CV282" s="90"/>
      <c r="CW282" s="90"/>
      <c r="CX282" s="90"/>
      <c r="CY282" s="90"/>
      <c r="CZ282" s="90"/>
      <c r="DA282" s="90"/>
      <c r="DB282" s="90"/>
      <c r="DC282" s="90"/>
      <c r="DD282" s="90"/>
      <c r="DE282" s="90"/>
      <c r="DF282" s="90"/>
      <c r="DG282" s="90"/>
      <c r="DH282" s="90"/>
      <c r="DI282" s="90"/>
      <c r="DJ282" s="90"/>
      <c r="DK282" s="90"/>
      <c r="DL282" s="90"/>
      <c r="DM282" s="90"/>
      <c r="DN282" s="90"/>
      <c r="DO282" s="90"/>
      <c r="DP282" s="90"/>
      <c r="DQ282" s="90"/>
      <c r="DR282" s="90"/>
      <c r="DS282" s="90"/>
      <c r="DT282" s="90"/>
      <c r="DU282" s="90"/>
      <c r="DV282" s="90"/>
      <c r="DW282" s="90"/>
      <c r="DX282" s="90"/>
      <c r="DY282" s="90"/>
      <c r="DZ282" s="90"/>
      <c r="EA282" s="90"/>
      <c r="EB282" s="90"/>
      <c r="EC282" s="90"/>
      <c r="ED282" s="90"/>
      <c r="EE282" s="90"/>
      <c r="EF282" s="90"/>
      <c r="EG282" s="90"/>
      <c r="EH282" s="90"/>
      <c r="EI282" s="90"/>
      <c r="EJ282" s="90"/>
      <c r="EK282" s="90"/>
      <c r="EL282" s="90"/>
      <c r="EM282" s="90"/>
      <c r="EN282" s="90"/>
      <c r="EO282" s="90"/>
      <c r="EP282" s="90"/>
      <c r="EQ282" s="90"/>
      <c r="ER282" s="90"/>
    </row>
    <row r="283" spans="2:148" s="91" customFormat="1" ht="24" customHeight="1">
      <c r="B283" s="92"/>
      <c r="C283" s="219">
        <f>IF(M3="","",IF(INDEX(участники!$A$102:$M$962,$M$3+13-100,7)="","",INDEX(участники!$A$102:$M$962,$M$3+13-100,7)))</f>
      </c>
      <c r="D283" s="220"/>
      <c r="E283" s="220"/>
      <c r="F283" s="220"/>
      <c r="G283" s="93"/>
      <c r="H283" s="216">
        <f>IF(M3="","",IF(INDEX(участники!$A$102:$M$962,$M$3+13-100,9)="","",INDEX(участники!$A$102:$M$962,$M$3+13-100,9)))</f>
      </c>
      <c r="I283" s="216"/>
      <c r="J283" s="216"/>
      <c r="K283" s="216"/>
      <c r="L283" s="216"/>
      <c r="M283" s="216"/>
      <c r="N283" s="216"/>
      <c r="O283" s="94"/>
      <c r="P283" s="95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/>
      <c r="AE283" s="96"/>
      <c r="AF283" s="96"/>
      <c r="AG283" s="96"/>
      <c r="AH283" s="96"/>
      <c r="AI283" s="96"/>
      <c r="AJ283" s="96"/>
      <c r="AK283" s="96"/>
      <c r="AL283" s="96"/>
      <c r="AM283" s="96"/>
      <c r="AN283" s="96"/>
      <c r="AO283" s="96"/>
      <c r="AP283" s="96"/>
      <c r="AQ283" s="96"/>
      <c r="AR283" s="96"/>
      <c r="AS283" s="96"/>
      <c r="AT283" s="96"/>
      <c r="AU283" s="96"/>
      <c r="AV283" s="96"/>
      <c r="AW283" s="96"/>
      <c r="AX283" s="96"/>
      <c r="AY283" s="96"/>
      <c r="AZ283" s="96"/>
      <c r="BA283" s="96"/>
      <c r="BB283" s="96"/>
      <c r="BC283" s="96"/>
      <c r="BD283" s="96"/>
      <c r="BE283" s="96"/>
      <c r="BF283" s="96"/>
      <c r="BG283" s="96"/>
      <c r="BH283" s="96"/>
      <c r="BI283" s="96"/>
      <c r="BJ283" s="96"/>
      <c r="BK283" s="96"/>
      <c r="BL283" s="96"/>
      <c r="BM283" s="96"/>
      <c r="BN283" s="96"/>
      <c r="BO283" s="96"/>
      <c r="BP283" s="96"/>
      <c r="BQ283" s="96"/>
      <c r="BR283" s="96"/>
      <c r="BS283" s="96"/>
      <c r="BT283" s="96"/>
      <c r="BU283" s="96"/>
      <c r="BV283" s="96"/>
      <c r="BW283" s="96"/>
      <c r="BX283" s="96"/>
      <c r="BY283" s="96"/>
      <c r="BZ283" s="96"/>
      <c r="CA283" s="96"/>
      <c r="CB283" s="96"/>
      <c r="CC283" s="96"/>
      <c r="CD283" s="96"/>
      <c r="CE283" s="96"/>
      <c r="CF283" s="96"/>
      <c r="CG283" s="96"/>
      <c r="CH283" s="96"/>
      <c r="CI283" s="96"/>
      <c r="CJ283" s="96"/>
      <c r="CK283" s="96"/>
      <c r="CL283" s="96"/>
      <c r="CM283" s="96"/>
      <c r="CN283" s="96"/>
      <c r="CO283" s="96"/>
      <c r="CP283" s="96"/>
      <c r="CQ283" s="96"/>
      <c r="CR283" s="96"/>
      <c r="CS283" s="96"/>
      <c r="CT283" s="96"/>
      <c r="CU283" s="96"/>
      <c r="CV283" s="96"/>
      <c r="CW283" s="96"/>
      <c r="CX283" s="96"/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/>
      <c r="EL283" s="96"/>
      <c r="EM283" s="96"/>
      <c r="EN283" s="96"/>
      <c r="EO283" s="96"/>
      <c r="EP283" s="96"/>
      <c r="EQ283" s="96"/>
      <c r="ER283" s="96"/>
    </row>
    <row r="284" spans="2:148" s="84" customFormat="1" ht="9.75" customHeight="1">
      <c r="B284" s="85"/>
      <c r="C284" s="86" t="s">
        <v>132</v>
      </c>
      <c r="D284" s="86"/>
      <c r="E284" s="86"/>
      <c r="F284" s="86"/>
      <c r="G284" s="86"/>
      <c r="H284" s="217" t="s">
        <v>133</v>
      </c>
      <c r="I284" s="217"/>
      <c r="J284" s="217"/>
      <c r="K284" s="217"/>
      <c r="L284" s="217"/>
      <c r="M284" s="217"/>
      <c r="N284" s="86"/>
      <c r="O284" s="86"/>
      <c r="P284" s="89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</row>
    <row r="285" spans="2:148" s="84" customFormat="1" ht="9.75" customHeight="1">
      <c r="B285" s="85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9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0"/>
      <c r="CI285" s="90"/>
      <c r="CJ285" s="90"/>
      <c r="CK285" s="90"/>
      <c r="CL285" s="90"/>
      <c r="CM285" s="90"/>
      <c r="CN285" s="90"/>
      <c r="CO285" s="90"/>
      <c r="CP285" s="90"/>
      <c r="CQ285" s="90"/>
      <c r="CR285" s="90"/>
      <c r="CS285" s="90"/>
      <c r="CT285" s="90"/>
      <c r="CU285" s="90"/>
      <c r="CV285" s="90"/>
      <c r="CW285" s="90"/>
      <c r="CX285" s="90"/>
      <c r="CY285" s="90"/>
      <c r="CZ285" s="90"/>
      <c r="DA285" s="90"/>
      <c r="DB285" s="90"/>
      <c r="DC285" s="90"/>
      <c r="DD285" s="90"/>
      <c r="DE285" s="90"/>
      <c r="DF285" s="90"/>
      <c r="DG285" s="90"/>
      <c r="DH285" s="90"/>
      <c r="DI285" s="90"/>
      <c r="DJ285" s="90"/>
      <c r="DK285" s="90"/>
      <c r="DL285" s="90"/>
      <c r="DM285" s="90"/>
      <c r="DN285" s="90"/>
      <c r="DO285" s="90"/>
      <c r="DP285" s="90"/>
      <c r="DQ285" s="90"/>
      <c r="DR285" s="90"/>
      <c r="DS285" s="90"/>
      <c r="DT285" s="90"/>
      <c r="DU285" s="90"/>
      <c r="DV285" s="90"/>
      <c r="DW285" s="90"/>
      <c r="DX285" s="90"/>
      <c r="DY285" s="90"/>
      <c r="DZ285" s="90"/>
      <c r="EA285" s="90"/>
      <c r="EB285" s="90"/>
      <c r="EC285" s="90"/>
      <c r="ED285" s="90"/>
      <c r="EE285" s="90"/>
      <c r="EF285" s="90"/>
      <c r="EG285" s="90"/>
      <c r="EH285" s="90"/>
      <c r="EI285" s="90"/>
      <c r="EJ285" s="90"/>
      <c r="EK285" s="90"/>
      <c r="EL285" s="90"/>
      <c r="EM285" s="90"/>
      <c r="EN285" s="90"/>
      <c r="EO285" s="90"/>
      <c r="EP285" s="90"/>
      <c r="EQ285" s="90"/>
      <c r="ER285" s="90"/>
    </row>
    <row r="286" spans="2:16" ht="26.25" customHeight="1">
      <c r="B286" s="64"/>
      <c r="C286" s="214">
        <f>IF(M3="","",IF(INDEX(участники!$A$102:$M$962,$M$3+13-100,10)="","",INDEX(участники!$A$102:$M$962,$M$3+13-100,10)))</f>
      </c>
      <c r="D286" s="215"/>
      <c r="E286" s="215"/>
      <c r="F286" s="215"/>
      <c r="G286" s="215"/>
      <c r="H286" s="215"/>
      <c r="I286" s="215"/>
      <c r="J286" s="215"/>
      <c r="K286" s="65"/>
      <c r="L286" s="132">
        <f>IF(M3="","",IF(INDEX(участники!$A$102:$M$962,$M$3+13-100,11)="","",INDEX(участники!$A$102:$M$962,$M$3+13-100,11)))</f>
      </c>
      <c r="M286" s="98"/>
      <c r="N286" s="132">
        <f>IF(M3="","",IF(INDEX(участники!$A$102:$M$962,$M$3+13-100,12)="","",INDEX(участники!$A$102:$M$962,$M$3+13-100,12)))</f>
      </c>
      <c r="O286" s="65"/>
      <c r="P286" s="67"/>
    </row>
    <row r="287" spans="2:148" s="84" customFormat="1" ht="14.25" customHeight="1">
      <c r="B287" s="85"/>
      <c r="C287" s="86" t="s">
        <v>134</v>
      </c>
      <c r="D287" s="86"/>
      <c r="E287" s="86"/>
      <c r="F287" s="86"/>
      <c r="G287" s="86"/>
      <c r="H287" s="86"/>
      <c r="I287" s="86"/>
      <c r="J287" s="218"/>
      <c r="K287" s="218"/>
      <c r="L287" s="87" t="s">
        <v>135</v>
      </c>
      <c r="M287" s="99"/>
      <c r="N287" s="133" t="s">
        <v>136</v>
      </c>
      <c r="O287" s="86"/>
      <c r="P287" s="89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90"/>
      <c r="CM287" s="90"/>
      <c r="CN287" s="90"/>
      <c r="CO287" s="90"/>
      <c r="CP287" s="90"/>
      <c r="CQ287" s="90"/>
      <c r="CR287" s="90"/>
      <c r="CS287" s="90"/>
      <c r="CT287" s="90"/>
      <c r="CU287" s="90"/>
      <c r="CV287" s="90"/>
      <c r="CW287" s="90"/>
      <c r="CX287" s="90"/>
      <c r="CY287" s="90"/>
      <c r="CZ287" s="90"/>
      <c r="DA287" s="90"/>
      <c r="DB287" s="90"/>
      <c r="DC287" s="90"/>
      <c r="DD287" s="90"/>
      <c r="DE287" s="90"/>
      <c r="DF287" s="90"/>
      <c r="DG287" s="90"/>
      <c r="DH287" s="90"/>
      <c r="DI287" s="90"/>
      <c r="DJ287" s="90"/>
      <c r="DK287" s="90"/>
      <c r="DL287" s="90"/>
      <c r="DM287" s="90"/>
      <c r="DN287" s="90"/>
      <c r="DO287" s="90"/>
      <c r="DP287" s="90"/>
      <c r="DQ287" s="90"/>
      <c r="DR287" s="90"/>
      <c r="DS287" s="90"/>
      <c r="DT287" s="90"/>
      <c r="DU287" s="90"/>
      <c r="DV287" s="90"/>
      <c r="DW287" s="90"/>
      <c r="DX287" s="90"/>
      <c r="DY287" s="90"/>
      <c r="DZ287" s="90"/>
      <c r="EA287" s="90"/>
      <c r="EB287" s="90"/>
      <c r="EC287" s="90"/>
      <c r="ED287" s="90"/>
      <c r="EE287" s="90"/>
      <c r="EF287" s="90"/>
      <c r="EG287" s="90"/>
      <c r="EH287" s="90"/>
      <c r="EI287" s="90"/>
      <c r="EJ287" s="90"/>
      <c r="EK287" s="90"/>
      <c r="EL287" s="90"/>
      <c r="EM287" s="90"/>
      <c r="EN287" s="90"/>
      <c r="EO287" s="90"/>
      <c r="EP287" s="90"/>
      <c r="EQ287" s="90"/>
      <c r="ER287" s="90"/>
    </row>
    <row r="288" spans="2:148" s="84" customFormat="1" ht="24.75" customHeight="1">
      <c r="B288" s="85"/>
      <c r="C288" s="86"/>
      <c r="D288" s="86"/>
      <c r="E288" s="86"/>
      <c r="F288" s="86"/>
      <c r="G288" s="86"/>
      <c r="H288" s="86"/>
      <c r="I288" s="86"/>
      <c r="J288" s="88"/>
      <c r="K288" s="88"/>
      <c r="L288" s="86"/>
      <c r="M288" s="88"/>
      <c r="N288" s="88"/>
      <c r="O288" s="86"/>
      <c r="P288" s="89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  <c r="DG288" s="90"/>
      <c r="DH288" s="90"/>
      <c r="DI288" s="90"/>
      <c r="DJ288" s="90"/>
      <c r="DK288" s="90"/>
      <c r="DL288" s="90"/>
      <c r="DM288" s="90"/>
      <c r="DN288" s="90"/>
      <c r="DO288" s="90"/>
      <c r="DP288" s="90"/>
      <c r="DQ288" s="90"/>
      <c r="DR288" s="90"/>
      <c r="DS288" s="90"/>
      <c r="DT288" s="90"/>
      <c r="DU288" s="90"/>
      <c r="DV288" s="90"/>
      <c r="DW288" s="90"/>
      <c r="DX288" s="90"/>
      <c r="DY288" s="90"/>
      <c r="DZ288" s="90"/>
      <c r="EA288" s="90"/>
      <c r="EB288" s="90"/>
      <c r="EC288" s="90"/>
      <c r="ED288" s="90"/>
      <c r="EE288" s="90"/>
      <c r="EF288" s="90"/>
      <c r="EG288" s="90"/>
      <c r="EH288" s="90"/>
      <c r="EI288" s="90"/>
      <c r="EJ288" s="90"/>
      <c r="EK288" s="90"/>
      <c r="EL288" s="90"/>
      <c r="EM288" s="90"/>
      <c r="EN288" s="90"/>
      <c r="EO288" s="90"/>
      <c r="EP288" s="90"/>
      <c r="EQ288" s="90"/>
      <c r="ER288" s="90"/>
    </row>
    <row r="289" spans="2:148" s="84" customFormat="1" ht="17.25" customHeight="1">
      <c r="B289" s="85"/>
      <c r="C289" s="100" t="s">
        <v>137</v>
      </c>
      <c r="D289" s="101"/>
      <c r="E289" s="102"/>
      <c r="F289" s="103" t="s">
        <v>138</v>
      </c>
      <c r="G289" s="102"/>
      <c r="H289" s="102"/>
      <c r="I289" s="104"/>
      <c r="J289" s="222" t="s">
        <v>139</v>
      </c>
      <c r="K289" s="223"/>
      <c r="L289" s="105" t="s">
        <v>140</v>
      </c>
      <c r="M289" s="105" t="s">
        <v>141</v>
      </c>
      <c r="N289" s="105" t="s">
        <v>142</v>
      </c>
      <c r="O289" s="86"/>
      <c r="P289" s="89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  <c r="DG289" s="90"/>
      <c r="DH289" s="90"/>
      <c r="DI289" s="90"/>
      <c r="DJ289" s="90"/>
      <c r="DK289" s="90"/>
      <c r="DL289" s="90"/>
      <c r="DM289" s="90"/>
      <c r="DN289" s="90"/>
      <c r="DO289" s="90"/>
      <c r="DP289" s="90"/>
      <c r="DQ289" s="90"/>
      <c r="DR289" s="90"/>
      <c r="DS289" s="90"/>
      <c r="DT289" s="90"/>
      <c r="DU289" s="90"/>
      <c r="DV289" s="90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0"/>
      <c r="EH289" s="90"/>
      <c r="EI289" s="90"/>
      <c r="EJ289" s="90"/>
      <c r="EK289" s="90"/>
      <c r="EL289" s="90"/>
      <c r="EM289" s="90"/>
      <c r="EN289" s="90"/>
      <c r="EO289" s="90"/>
      <c r="EP289" s="90"/>
      <c r="EQ289" s="90"/>
      <c r="ER289" s="90"/>
    </row>
    <row r="290" spans="2:148" s="84" customFormat="1" ht="24.75" customHeight="1">
      <c r="B290" s="85"/>
      <c r="C290" s="106" t="s">
        <v>143</v>
      </c>
      <c r="D290" s="107"/>
      <c r="E290" s="108"/>
      <c r="F290" s="108"/>
      <c r="G290" s="108"/>
      <c r="H290" s="108"/>
      <c r="I290" s="107"/>
      <c r="J290" s="109"/>
      <c r="K290" s="107"/>
      <c r="L290" s="110"/>
      <c r="M290" s="110"/>
      <c r="N290" s="110"/>
      <c r="O290" s="86"/>
      <c r="P290" s="89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90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  <c r="DG290" s="90"/>
      <c r="DH290" s="90"/>
      <c r="DI290" s="90"/>
      <c r="DJ290" s="90"/>
      <c r="DK290" s="90"/>
      <c r="DL290" s="90"/>
      <c r="DM290" s="90"/>
      <c r="DN290" s="90"/>
      <c r="DO290" s="90"/>
      <c r="DP290" s="90"/>
      <c r="DQ290" s="90"/>
      <c r="DR290" s="90"/>
      <c r="DS290" s="90"/>
      <c r="DT290" s="90"/>
      <c r="DU290" s="90"/>
      <c r="DV290" s="90"/>
      <c r="DW290" s="90"/>
      <c r="DX290" s="90"/>
      <c r="DY290" s="90"/>
      <c r="DZ290" s="90"/>
      <c r="EA290" s="90"/>
      <c r="EB290" s="90"/>
      <c r="EC290" s="90"/>
      <c r="ED290" s="90"/>
      <c r="EE290" s="90"/>
      <c r="EF290" s="90"/>
      <c r="EG290" s="90"/>
      <c r="EH290" s="90"/>
      <c r="EI290" s="90"/>
      <c r="EJ290" s="90"/>
      <c r="EK290" s="90"/>
      <c r="EL290" s="90"/>
      <c r="EM290" s="90"/>
      <c r="EN290" s="90"/>
      <c r="EO290" s="90"/>
      <c r="EP290" s="90"/>
      <c r="EQ290" s="90"/>
      <c r="ER290" s="90"/>
    </row>
    <row r="291" spans="2:148" s="84" customFormat="1" ht="24.75" customHeight="1">
      <c r="B291" s="85"/>
      <c r="C291" s="106" t="s">
        <v>144</v>
      </c>
      <c r="D291" s="107"/>
      <c r="E291" s="108"/>
      <c r="F291" s="108"/>
      <c r="G291" s="108"/>
      <c r="H291" s="108"/>
      <c r="I291" s="107"/>
      <c r="J291" s="109"/>
      <c r="K291" s="107"/>
      <c r="L291" s="110"/>
      <c r="M291" s="110"/>
      <c r="N291" s="110"/>
      <c r="O291" s="86"/>
      <c r="P291" s="89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90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  <c r="DG291" s="90"/>
      <c r="DH291" s="90"/>
      <c r="DI291" s="90"/>
      <c r="DJ291" s="90"/>
      <c r="DK291" s="90"/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0"/>
      <c r="EF291" s="90"/>
      <c r="EG291" s="90"/>
      <c r="EH291" s="90"/>
      <c r="EI291" s="90"/>
      <c r="EJ291" s="90"/>
      <c r="EK291" s="90"/>
      <c r="EL291" s="90"/>
      <c r="EM291" s="90"/>
      <c r="EN291" s="90"/>
      <c r="EO291" s="90"/>
      <c r="EP291" s="90"/>
      <c r="EQ291" s="90"/>
      <c r="ER291" s="90"/>
    </row>
    <row r="292" spans="2:148" s="84" customFormat="1" ht="24.75" customHeight="1">
      <c r="B292" s="85"/>
      <c r="C292" s="111" t="s">
        <v>145</v>
      </c>
      <c r="D292" s="112"/>
      <c r="E292" s="113"/>
      <c r="F292" s="113"/>
      <c r="G292" s="113"/>
      <c r="H292" s="113"/>
      <c r="I292" s="112"/>
      <c r="J292" s="114"/>
      <c r="K292" s="112"/>
      <c r="L292" s="110"/>
      <c r="M292" s="110"/>
      <c r="N292" s="110"/>
      <c r="O292" s="86"/>
      <c r="P292" s="89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  <c r="DG292" s="90"/>
      <c r="DH292" s="90"/>
      <c r="DI292" s="90"/>
      <c r="DJ292" s="90"/>
      <c r="DK292" s="90"/>
      <c r="DL292" s="90"/>
      <c r="DM292" s="90"/>
      <c r="DN292" s="90"/>
      <c r="DO292" s="90"/>
      <c r="DP292" s="90"/>
      <c r="DQ292" s="90"/>
      <c r="DR292" s="90"/>
      <c r="DS292" s="90"/>
      <c r="DT292" s="90"/>
      <c r="DU292" s="90"/>
      <c r="DV292" s="90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0"/>
      <c r="EH292" s="90"/>
      <c r="EI292" s="90"/>
      <c r="EJ292" s="90"/>
      <c r="EK292" s="90"/>
      <c r="EL292" s="90"/>
      <c r="EM292" s="90"/>
      <c r="EN292" s="90"/>
      <c r="EO292" s="90"/>
      <c r="EP292" s="90"/>
      <c r="EQ292" s="90"/>
      <c r="ER292" s="90"/>
    </row>
    <row r="293" spans="2:16" ht="12" customHeight="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7"/>
    </row>
    <row r="294" spans="2:16" ht="3.75" customHeight="1">
      <c r="B294" s="61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3"/>
    </row>
    <row r="295" spans="2:16" ht="27.75" customHeight="1">
      <c r="B295" s="64"/>
      <c r="C295" s="65"/>
      <c r="D295" s="65"/>
      <c r="E295" s="65"/>
      <c r="F295" s="65"/>
      <c r="G295" s="66"/>
      <c r="H295" s="65"/>
      <c r="I295" s="65"/>
      <c r="J295" s="65"/>
      <c r="K295" s="65"/>
      <c r="L295" s="65"/>
      <c r="M295" s="134" t="s">
        <v>122</v>
      </c>
      <c r="N295" s="238"/>
      <c r="O295" s="239"/>
      <c r="P295" s="67"/>
    </row>
    <row r="296" spans="2:148" s="68" customFormat="1" ht="34.5" customHeight="1">
      <c r="B296" s="69"/>
      <c r="C296" s="232">
        <f>IF(M3="","",IF(INDEX(участники!$A$102:$M$963,$M$3+14-100,13)="","",INDEX(участники!$A$102:$M$963,$M$3+14-100,13)))</f>
      </c>
      <c r="D296" s="233"/>
      <c r="E296" s="70"/>
      <c r="F296" s="234"/>
      <c r="G296" s="235"/>
      <c r="H296" s="65"/>
      <c r="I296" s="71"/>
      <c r="J296" s="236">
        <f>IF(M3="","",IF(INDEX(участники!$A$102:$M$963,$M$3+14-100,1)="","",INDEX(участники!$A$102:$M$963,$M$3+14-100,1)))</f>
      </c>
      <c r="K296" s="237"/>
      <c r="L296" s="71"/>
      <c r="M296" s="134" t="s">
        <v>123</v>
      </c>
      <c r="N296" s="130" t="str">
        <f>IF(M3="","",CONCATENATE(IF(INDEX(участники!$A$102:$M$963,$M$3+14-100,3)="","",INDEX(участники!$A$102:$M$963,$M$3+14-100,3)),"  ",IF(INDEX(участники!$A$102:$M$963,$M$3+14-100,3)="","",INDEX(участники!$A$104:$M$963,$M$3+14-100,3))))</f>
        <v>  </v>
      </c>
      <c r="O296" s="72"/>
      <c r="P296" s="73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74"/>
      <c r="CF296" s="74"/>
      <c r="CG296" s="74"/>
      <c r="CH296" s="74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</row>
    <row r="297" spans="2:148" s="75" customFormat="1" ht="15.75" customHeight="1">
      <c r="B297" s="76"/>
      <c r="C297" s="224" t="s">
        <v>124</v>
      </c>
      <c r="D297" s="224"/>
      <c r="E297" s="77"/>
      <c r="F297" s="225" t="s">
        <v>125</v>
      </c>
      <c r="G297" s="225"/>
      <c r="H297" s="78"/>
      <c r="I297" s="77"/>
      <c r="J297" s="224" t="s">
        <v>126</v>
      </c>
      <c r="K297" s="224"/>
      <c r="L297" s="79"/>
      <c r="M297" s="79"/>
      <c r="N297" s="79"/>
      <c r="O297" s="79"/>
      <c r="P297" s="80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  <c r="DK297" s="81"/>
      <c r="DL297" s="81"/>
      <c r="DM297" s="81"/>
      <c r="DN297" s="81"/>
      <c r="DO297" s="81"/>
      <c r="DP297" s="81"/>
      <c r="DQ297" s="81"/>
      <c r="DR297" s="81"/>
      <c r="DS297" s="81"/>
      <c r="DT297" s="81"/>
      <c r="DU297" s="81"/>
      <c r="DV297" s="81"/>
      <c r="DW297" s="81"/>
      <c r="DX297" s="81"/>
      <c r="DY297" s="81"/>
      <c r="DZ297" s="81"/>
      <c r="EA297" s="81"/>
      <c r="EB297" s="81"/>
      <c r="EC297" s="81"/>
      <c r="ED297" s="81"/>
      <c r="EE297" s="81"/>
      <c r="EF297" s="81"/>
      <c r="EG297" s="81"/>
      <c r="EH297" s="81"/>
      <c r="EI297" s="81"/>
      <c r="EJ297" s="81"/>
      <c r="EK297" s="81"/>
      <c r="EL297" s="81"/>
      <c r="EM297" s="81"/>
      <c r="EN297" s="81"/>
      <c r="EO297" s="81"/>
      <c r="EP297" s="81"/>
      <c r="EQ297" s="81"/>
      <c r="ER297" s="81"/>
    </row>
    <row r="298" spans="2:16" ht="40.5" customHeight="1">
      <c r="B298" s="64"/>
      <c r="C298" s="226">
        <f>IF(M3="","",IF(INDEX(участники!$A$102:$M$962,$M$3+14-100,2)="","",INDEX(участники!$A$102:$M$962,$M$3+14-100,2)))</f>
      </c>
      <c r="D298" s="226"/>
      <c r="E298" s="226"/>
      <c r="F298" s="226"/>
      <c r="G298" s="226"/>
      <c r="H298" s="226"/>
      <c r="I298" s="82"/>
      <c r="J298" s="227">
        <f>IF(M3="","",IF(INDEX(участники!$A$102:$M$962,$M$3+14-100,4)="","",INDEX(участники!$A$102:$M$962,$M$3+14-100,4)))</f>
      </c>
      <c r="K298" s="227"/>
      <c r="L298" s="83"/>
      <c r="M298" s="131">
        <f>IF(M3="","",IF(INDEX(участники!$A$102:$M$962,$M$3+14-100,5)="","",INDEX(участники!$A$102:$M$962,$M$3+14-100,5)))</f>
      </c>
      <c r="N298" s="65"/>
      <c r="O298" s="65"/>
      <c r="P298" s="67"/>
    </row>
    <row r="299" spans="2:148" s="84" customFormat="1" ht="12.75" customHeight="1">
      <c r="B299" s="85"/>
      <c r="C299" s="86" t="s">
        <v>127</v>
      </c>
      <c r="D299" s="86"/>
      <c r="E299" s="86"/>
      <c r="F299" s="86"/>
      <c r="G299" s="86"/>
      <c r="H299" s="86"/>
      <c r="I299" s="86"/>
      <c r="J299" s="228" t="s">
        <v>128</v>
      </c>
      <c r="K299" s="228"/>
      <c r="L299" s="86"/>
      <c r="M299" s="88" t="s">
        <v>129</v>
      </c>
      <c r="N299" s="86"/>
      <c r="O299" s="86"/>
      <c r="P299" s="89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90"/>
      <c r="CB299" s="90"/>
      <c r="CC299" s="90"/>
      <c r="CD299" s="90"/>
      <c r="CE299" s="90"/>
      <c r="CF299" s="90"/>
      <c r="CG299" s="90"/>
      <c r="CH299" s="90"/>
      <c r="CI299" s="90"/>
      <c r="CJ299" s="90"/>
      <c r="CK299" s="90"/>
      <c r="CL299" s="90"/>
      <c r="CM299" s="90"/>
      <c r="CN299" s="90"/>
      <c r="CO299" s="90"/>
      <c r="CP299" s="90"/>
      <c r="CQ299" s="90"/>
      <c r="CR299" s="90"/>
      <c r="CS299" s="90"/>
      <c r="CT299" s="90"/>
      <c r="CU299" s="90"/>
      <c r="CV299" s="90"/>
      <c r="CW299" s="90"/>
      <c r="CX299" s="90"/>
      <c r="CY299" s="90"/>
      <c r="CZ299" s="90"/>
      <c r="DA299" s="90"/>
      <c r="DB299" s="90"/>
      <c r="DC299" s="90"/>
      <c r="DD299" s="90"/>
      <c r="DE299" s="90"/>
      <c r="DF299" s="90"/>
      <c r="DG299" s="90"/>
      <c r="DH299" s="90"/>
      <c r="DI299" s="90"/>
      <c r="DJ299" s="90"/>
      <c r="DK299" s="90"/>
      <c r="DL299" s="90"/>
      <c r="DM299" s="90"/>
      <c r="DN299" s="90"/>
      <c r="DO299" s="90"/>
      <c r="DP299" s="90"/>
      <c r="DQ299" s="90"/>
      <c r="DR299" s="90"/>
      <c r="DS299" s="90"/>
      <c r="DT299" s="90"/>
      <c r="DU299" s="90"/>
      <c r="DV299" s="90"/>
      <c r="DW299" s="90"/>
      <c r="DX299" s="90"/>
      <c r="DY299" s="90"/>
      <c r="DZ299" s="90"/>
      <c r="EA299" s="90"/>
      <c r="EB299" s="90"/>
      <c r="EC299" s="90"/>
      <c r="ED299" s="90"/>
      <c r="EE299" s="90"/>
      <c r="EF299" s="90"/>
      <c r="EG299" s="90"/>
      <c r="EH299" s="90"/>
      <c r="EI299" s="90"/>
      <c r="EJ299" s="90"/>
      <c r="EK299" s="90"/>
      <c r="EL299" s="90"/>
      <c r="EM299" s="90"/>
      <c r="EN299" s="90"/>
      <c r="EO299" s="90"/>
      <c r="EP299" s="90"/>
      <c r="EQ299" s="90"/>
      <c r="ER299" s="90"/>
    </row>
    <row r="300" spans="2:148" s="91" customFormat="1" ht="35.25" customHeight="1">
      <c r="B300" s="92"/>
      <c r="C300" s="229">
        <f>IF(M3="","",IF(INDEX(участники!$A$102:$M$962,$M$3+14-100,6)="","",INDEX(участники!$A$102:$M$962,$M$3+14-100,6)))</f>
      </c>
      <c r="D300" s="220"/>
      <c r="E300" s="220"/>
      <c r="F300" s="220"/>
      <c r="G300" s="93"/>
      <c r="H300" s="216">
        <f>IF(M3="","",IF(INDEX(участники!$A$102:$M$962,$M$3+14-100,8)="","",INDEX(участники!$A$102:$M$962,$M$3+14-100,8)))</f>
      </c>
      <c r="I300" s="216"/>
      <c r="J300" s="216"/>
      <c r="K300" s="94"/>
      <c r="L300" s="221"/>
      <c r="M300" s="221"/>
      <c r="N300" s="221"/>
      <c r="O300" s="94"/>
      <c r="P300" s="95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</row>
    <row r="301" spans="2:148" s="84" customFormat="1" ht="11.25" customHeight="1">
      <c r="B301" s="85"/>
      <c r="C301" s="86" t="s">
        <v>130</v>
      </c>
      <c r="D301" s="86"/>
      <c r="E301" s="86"/>
      <c r="F301" s="86"/>
      <c r="G301" s="97"/>
      <c r="H301" s="217" t="s">
        <v>131</v>
      </c>
      <c r="I301" s="217"/>
      <c r="J301" s="217"/>
      <c r="K301" s="86"/>
      <c r="L301" s="218"/>
      <c r="M301" s="218"/>
      <c r="N301" s="218"/>
      <c r="O301" s="86"/>
      <c r="P301" s="89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90"/>
      <c r="CM301" s="90"/>
      <c r="CN301" s="90"/>
      <c r="CO301" s="90"/>
      <c r="CP301" s="90"/>
      <c r="CQ301" s="90"/>
      <c r="CR301" s="90"/>
      <c r="CS301" s="90"/>
      <c r="CT301" s="90"/>
      <c r="CU301" s="90"/>
      <c r="CV301" s="90"/>
      <c r="CW301" s="90"/>
      <c r="CX301" s="90"/>
      <c r="CY301" s="90"/>
      <c r="CZ301" s="90"/>
      <c r="DA301" s="90"/>
      <c r="DB301" s="90"/>
      <c r="DC301" s="90"/>
      <c r="DD301" s="90"/>
      <c r="DE301" s="90"/>
      <c r="DF301" s="90"/>
      <c r="DG301" s="90"/>
      <c r="DH301" s="90"/>
      <c r="DI301" s="90"/>
      <c r="DJ301" s="90"/>
      <c r="DK301" s="90"/>
      <c r="DL301" s="90"/>
      <c r="DM301" s="90"/>
      <c r="DN301" s="90"/>
      <c r="DO301" s="90"/>
      <c r="DP301" s="90"/>
      <c r="DQ301" s="90"/>
      <c r="DR301" s="90"/>
      <c r="DS301" s="90"/>
      <c r="DT301" s="90"/>
      <c r="DU301" s="90"/>
      <c r="DV301" s="90"/>
      <c r="DW301" s="90"/>
      <c r="DX301" s="90"/>
      <c r="DY301" s="90"/>
      <c r="DZ301" s="90"/>
      <c r="EA301" s="90"/>
      <c r="EB301" s="90"/>
      <c r="EC301" s="90"/>
      <c r="ED301" s="90"/>
      <c r="EE301" s="90"/>
      <c r="EF301" s="90"/>
      <c r="EG301" s="90"/>
      <c r="EH301" s="90"/>
      <c r="EI301" s="90"/>
      <c r="EJ301" s="90"/>
      <c r="EK301" s="90"/>
      <c r="EL301" s="90"/>
      <c r="EM301" s="90"/>
      <c r="EN301" s="90"/>
      <c r="EO301" s="90"/>
      <c r="EP301" s="90"/>
      <c r="EQ301" s="90"/>
      <c r="ER301" s="90"/>
    </row>
    <row r="302" spans="2:148" s="91" customFormat="1" ht="24" customHeight="1">
      <c r="B302" s="92"/>
      <c r="C302" s="219">
        <f>IF(M3="","",IF(INDEX(участники!$A$102:$M$962,$M$3+14-100,7)="","",INDEX(участники!$A$102:$M$962,$M$3+14-100,7)))</f>
      </c>
      <c r="D302" s="220"/>
      <c r="E302" s="220"/>
      <c r="F302" s="220"/>
      <c r="G302" s="93"/>
      <c r="H302" s="216">
        <f>IF(M3="","",IF(INDEX(участники!$A$102:$M$962,$M$3+14-100,9)="","",INDEX(участники!$A$102:$M$962,$M$3+14-100,9)))</f>
      </c>
      <c r="I302" s="216"/>
      <c r="J302" s="216"/>
      <c r="K302" s="216"/>
      <c r="L302" s="216"/>
      <c r="M302" s="216"/>
      <c r="N302" s="216"/>
      <c r="O302" s="94"/>
      <c r="P302" s="95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96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96"/>
      <c r="AX302" s="96"/>
      <c r="AY302" s="96"/>
      <c r="AZ302" s="96"/>
      <c r="BA302" s="96"/>
      <c r="BB302" s="96"/>
      <c r="BC302" s="96"/>
      <c r="BD302" s="96"/>
      <c r="BE302" s="96"/>
      <c r="BF302" s="96"/>
      <c r="BG302" s="96"/>
      <c r="BH302" s="96"/>
      <c r="BI302" s="96"/>
      <c r="BJ302" s="96"/>
      <c r="BK302" s="96"/>
      <c r="BL302" s="96"/>
      <c r="BM302" s="96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  <c r="CC302" s="96"/>
      <c r="CD302" s="96"/>
      <c r="CE302" s="96"/>
      <c r="CF302" s="96"/>
      <c r="CG302" s="96"/>
      <c r="CH302" s="96"/>
      <c r="CI302" s="96"/>
      <c r="CJ302" s="96"/>
      <c r="CK302" s="96"/>
      <c r="CL302" s="96"/>
      <c r="CM302" s="96"/>
      <c r="CN302" s="96"/>
      <c r="CO302" s="96"/>
      <c r="CP302" s="96"/>
      <c r="CQ302" s="96"/>
      <c r="CR302" s="96"/>
      <c r="CS302" s="96"/>
      <c r="CT302" s="96"/>
      <c r="CU302" s="96"/>
      <c r="CV302" s="96"/>
      <c r="CW302" s="96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/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/>
      <c r="EL302" s="96"/>
      <c r="EM302" s="96"/>
      <c r="EN302" s="96"/>
      <c r="EO302" s="96"/>
      <c r="EP302" s="96"/>
      <c r="EQ302" s="96"/>
      <c r="ER302" s="96"/>
    </row>
    <row r="303" spans="2:148" s="84" customFormat="1" ht="9.75" customHeight="1">
      <c r="B303" s="85"/>
      <c r="C303" s="86" t="s">
        <v>132</v>
      </c>
      <c r="D303" s="86"/>
      <c r="E303" s="86"/>
      <c r="F303" s="86"/>
      <c r="G303" s="86"/>
      <c r="H303" s="217" t="s">
        <v>133</v>
      </c>
      <c r="I303" s="217"/>
      <c r="J303" s="217"/>
      <c r="K303" s="217"/>
      <c r="L303" s="217"/>
      <c r="M303" s="217"/>
      <c r="N303" s="86"/>
      <c r="O303" s="86"/>
      <c r="P303" s="89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90"/>
      <c r="CQ303" s="90"/>
      <c r="CR303" s="90"/>
      <c r="CS303" s="90"/>
      <c r="CT303" s="90"/>
      <c r="CU303" s="90"/>
      <c r="CV303" s="90"/>
      <c r="CW303" s="90"/>
      <c r="CX303" s="90"/>
      <c r="CY303" s="90"/>
      <c r="CZ303" s="90"/>
      <c r="DA303" s="90"/>
      <c r="DB303" s="90"/>
      <c r="DC303" s="90"/>
      <c r="DD303" s="90"/>
      <c r="DE303" s="90"/>
      <c r="DF303" s="90"/>
      <c r="DG303" s="90"/>
      <c r="DH303" s="90"/>
      <c r="DI303" s="90"/>
      <c r="DJ303" s="90"/>
      <c r="DK303" s="90"/>
      <c r="DL303" s="90"/>
      <c r="DM303" s="90"/>
      <c r="DN303" s="90"/>
      <c r="DO303" s="90"/>
      <c r="DP303" s="90"/>
      <c r="DQ303" s="90"/>
      <c r="DR303" s="90"/>
      <c r="DS303" s="90"/>
      <c r="DT303" s="90"/>
      <c r="DU303" s="90"/>
      <c r="DV303" s="90"/>
      <c r="DW303" s="90"/>
      <c r="DX303" s="90"/>
      <c r="DY303" s="90"/>
      <c r="DZ303" s="90"/>
      <c r="EA303" s="90"/>
      <c r="EB303" s="90"/>
      <c r="EC303" s="90"/>
      <c r="ED303" s="90"/>
      <c r="EE303" s="90"/>
      <c r="EF303" s="90"/>
      <c r="EG303" s="90"/>
      <c r="EH303" s="90"/>
      <c r="EI303" s="90"/>
      <c r="EJ303" s="90"/>
      <c r="EK303" s="90"/>
      <c r="EL303" s="90"/>
      <c r="EM303" s="90"/>
      <c r="EN303" s="90"/>
      <c r="EO303" s="90"/>
      <c r="EP303" s="90"/>
      <c r="EQ303" s="90"/>
      <c r="ER303" s="90"/>
    </row>
    <row r="304" spans="2:148" s="84" customFormat="1" ht="9.75" customHeight="1">
      <c r="B304" s="85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9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90"/>
      <c r="CM304" s="90"/>
      <c r="CN304" s="90"/>
      <c r="CO304" s="90"/>
      <c r="CP304" s="90"/>
      <c r="CQ304" s="90"/>
      <c r="CR304" s="90"/>
      <c r="CS304" s="90"/>
      <c r="CT304" s="90"/>
      <c r="CU304" s="90"/>
      <c r="CV304" s="90"/>
      <c r="CW304" s="90"/>
      <c r="CX304" s="90"/>
      <c r="CY304" s="90"/>
      <c r="CZ304" s="90"/>
      <c r="DA304" s="90"/>
      <c r="DB304" s="90"/>
      <c r="DC304" s="90"/>
      <c r="DD304" s="90"/>
      <c r="DE304" s="90"/>
      <c r="DF304" s="90"/>
      <c r="DG304" s="90"/>
      <c r="DH304" s="90"/>
      <c r="DI304" s="90"/>
      <c r="DJ304" s="90"/>
      <c r="DK304" s="90"/>
      <c r="DL304" s="90"/>
      <c r="DM304" s="90"/>
      <c r="DN304" s="90"/>
      <c r="DO304" s="90"/>
      <c r="DP304" s="90"/>
      <c r="DQ304" s="90"/>
      <c r="DR304" s="90"/>
      <c r="DS304" s="90"/>
      <c r="DT304" s="90"/>
      <c r="DU304" s="90"/>
      <c r="DV304" s="90"/>
      <c r="DW304" s="90"/>
      <c r="DX304" s="90"/>
      <c r="DY304" s="90"/>
      <c r="DZ304" s="90"/>
      <c r="EA304" s="90"/>
      <c r="EB304" s="90"/>
      <c r="EC304" s="90"/>
      <c r="ED304" s="90"/>
      <c r="EE304" s="90"/>
      <c r="EF304" s="90"/>
      <c r="EG304" s="90"/>
      <c r="EH304" s="90"/>
      <c r="EI304" s="90"/>
      <c r="EJ304" s="90"/>
      <c r="EK304" s="90"/>
      <c r="EL304" s="90"/>
      <c r="EM304" s="90"/>
      <c r="EN304" s="90"/>
      <c r="EO304" s="90"/>
      <c r="EP304" s="90"/>
      <c r="EQ304" s="90"/>
      <c r="ER304" s="90"/>
    </row>
    <row r="305" spans="2:16" ht="26.25" customHeight="1">
      <c r="B305" s="64"/>
      <c r="C305" s="214">
        <f>IF(M3="","",IF(INDEX(участники!$A$102:$M$962,$M$3+14-100,10)="","",INDEX(участники!$A$102:$M$962,$M$3+14-100,10)))</f>
      </c>
      <c r="D305" s="215"/>
      <c r="E305" s="215"/>
      <c r="F305" s="215"/>
      <c r="G305" s="215"/>
      <c r="H305" s="215"/>
      <c r="I305" s="215"/>
      <c r="J305" s="215"/>
      <c r="K305" s="65"/>
      <c r="L305" s="132">
        <f>IF(M3="","",IF(INDEX(участники!$A$102:$M$962,$M$3+14-100,11)="","",INDEX(участники!$A$102:$M$962,$M$3+14-100,11)))</f>
      </c>
      <c r="M305" s="98"/>
      <c r="N305" s="132">
        <f>IF(M3="","",IF(INDEX(участники!$A$102:$M$962,$M$3+14-100,12)="","",INDEX(участники!$A$102:$M$962,$M$3+14-100,12)))</f>
      </c>
      <c r="O305" s="65"/>
      <c r="P305" s="67"/>
    </row>
    <row r="306" spans="2:148" s="84" customFormat="1" ht="14.25" customHeight="1">
      <c r="B306" s="85"/>
      <c r="C306" s="86" t="s">
        <v>134</v>
      </c>
      <c r="D306" s="86"/>
      <c r="E306" s="86"/>
      <c r="F306" s="86"/>
      <c r="G306" s="86"/>
      <c r="H306" s="86"/>
      <c r="I306" s="86"/>
      <c r="J306" s="218"/>
      <c r="K306" s="218"/>
      <c r="L306" s="87" t="s">
        <v>135</v>
      </c>
      <c r="M306" s="99"/>
      <c r="N306" s="133" t="s">
        <v>136</v>
      </c>
      <c r="O306" s="86"/>
      <c r="P306" s="89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90"/>
      <c r="CK306" s="90"/>
      <c r="CL306" s="90"/>
      <c r="CM306" s="90"/>
      <c r="CN306" s="90"/>
      <c r="CO306" s="90"/>
      <c r="CP306" s="90"/>
      <c r="CQ306" s="90"/>
      <c r="CR306" s="90"/>
      <c r="CS306" s="90"/>
      <c r="CT306" s="90"/>
      <c r="CU306" s="90"/>
      <c r="CV306" s="90"/>
      <c r="CW306" s="90"/>
      <c r="CX306" s="90"/>
      <c r="CY306" s="90"/>
      <c r="CZ306" s="90"/>
      <c r="DA306" s="90"/>
      <c r="DB306" s="90"/>
      <c r="DC306" s="90"/>
      <c r="DD306" s="90"/>
      <c r="DE306" s="90"/>
      <c r="DF306" s="90"/>
      <c r="DG306" s="90"/>
      <c r="DH306" s="90"/>
      <c r="DI306" s="90"/>
      <c r="DJ306" s="90"/>
      <c r="DK306" s="90"/>
      <c r="DL306" s="90"/>
      <c r="DM306" s="90"/>
      <c r="DN306" s="90"/>
      <c r="DO306" s="90"/>
      <c r="DP306" s="90"/>
      <c r="DQ306" s="90"/>
      <c r="DR306" s="90"/>
      <c r="DS306" s="90"/>
      <c r="DT306" s="90"/>
      <c r="DU306" s="90"/>
      <c r="DV306" s="90"/>
      <c r="DW306" s="90"/>
      <c r="DX306" s="90"/>
      <c r="DY306" s="90"/>
      <c r="DZ306" s="90"/>
      <c r="EA306" s="90"/>
      <c r="EB306" s="90"/>
      <c r="EC306" s="90"/>
      <c r="ED306" s="90"/>
      <c r="EE306" s="90"/>
      <c r="EF306" s="90"/>
      <c r="EG306" s="90"/>
      <c r="EH306" s="90"/>
      <c r="EI306" s="90"/>
      <c r="EJ306" s="90"/>
      <c r="EK306" s="90"/>
      <c r="EL306" s="90"/>
      <c r="EM306" s="90"/>
      <c r="EN306" s="90"/>
      <c r="EO306" s="90"/>
      <c r="EP306" s="90"/>
      <c r="EQ306" s="90"/>
      <c r="ER306" s="90"/>
    </row>
    <row r="307" spans="2:148" s="84" customFormat="1" ht="24.75" customHeight="1">
      <c r="B307" s="85"/>
      <c r="C307" s="86"/>
      <c r="D307" s="86"/>
      <c r="E307" s="86"/>
      <c r="F307" s="86"/>
      <c r="G307" s="86"/>
      <c r="H307" s="86"/>
      <c r="I307" s="86"/>
      <c r="J307" s="88"/>
      <c r="K307" s="88"/>
      <c r="L307" s="86"/>
      <c r="M307" s="88"/>
      <c r="N307" s="88"/>
      <c r="O307" s="86"/>
      <c r="P307" s="89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  <c r="BZ307" s="90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90"/>
      <c r="CM307" s="90"/>
      <c r="CN307" s="90"/>
      <c r="CO307" s="90"/>
      <c r="CP307" s="90"/>
      <c r="CQ307" s="90"/>
      <c r="CR307" s="90"/>
      <c r="CS307" s="90"/>
      <c r="CT307" s="90"/>
      <c r="CU307" s="90"/>
      <c r="CV307" s="90"/>
      <c r="CW307" s="90"/>
      <c r="CX307" s="90"/>
      <c r="CY307" s="90"/>
      <c r="CZ307" s="90"/>
      <c r="DA307" s="90"/>
      <c r="DB307" s="90"/>
      <c r="DC307" s="90"/>
      <c r="DD307" s="90"/>
      <c r="DE307" s="90"/>
      <c r="DF307" s="90"/>
      <c r="DG307" s="90"/>
      <c r="DH307" s="90"/>
      <c r="DI307" s="90"/>
      <c r="DJ307" s="90"/>
      <c r="DK307" s="90"/>
      <c r="DL307" s="90"/>
      <c r="DM307" s="90"/>
      <c r="DN307" s="90"/>
      <c r="DO307" s="90"/>
      <c r="DP307" s="90"/>
      <c r="DQ307" s="90"/>
      <c r="DR307" s="90"/>
      <c r="DS307" s="90"/>
      <c r="DT307" s="90"/>
      <c r="DU307" s="90"/>
      <c r="DV307" s="90"/>
      <c r="DW307" s="90"/>
      <c r="DX307" s="90"/>
      <c r="DY307" s="90"/>
      <c r="DZ307" s="90"/>
      <c r="EA307" s="90"/>
      <c r="EB307" s="90"/>
      <c r="EC307" s="90"/>
      <c r="ED307" s="90"/>
      <c r="EE307" s="90"/>
      <c r="EF307" s="90"/>
      <c r="EG307" s="90"/>
      <c r="EH307" s="90"/>
      <c r="EI307" s="90"/>
      <c r="EJ307" s="90"/>
      <c r="EK307" s="90"/>
      <c r="EL307" s="90"/>
      <c r="EM307" s="90"/>
      <c r="EN307" s="90"/>
      <c r="EO307" s="90"/>
      <c r="EP307" s="90"/>
      <c r="EQ307" s="90"/>
      <c r="ER307" s="90"/>
    </row>
    <row r="308" spans="2:148" s="84" customFormat="1" ht="17.25" customHeight="1">
      <c r="B308" s="85"/>
      <c r="C308" s="100" t="s">
        <v>137</v>
      </c>
      <c r="D308" s="101"/>
      <c r="E308" s="102"/>
      <c r="F308" s="103" t="s">
        <v>138</v>
      </c>
      <c r="G308" s="102"/>
      <c r="H308" s="102"/>
      <c r="I308" s="104"/>
      <c r="J308" s="222" t="s">
        <v>139</v>
      </c>
      <c r="K308" s="223"/>
      <c r="L308" s="105" t="s">
        <v>140</v>
      </c>
      <c r="M308" s="105" t="s">
        <v>141</v>
      </c>
      <c r="N308" s="105" t="s">
        <v>142</v>
      </c>
      <c r="O308" s="86"/>
      <c r="P308" s="89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90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0"/>
      <c r="CX308" s="90"/>
      <c r="CY308" s="90"/>
      <c r="CZ308" s="90"/>
      <c r="DA308" s="90"/>
      <c r="DB308" s="90"/>
      <c r="DC308" s="90"/>
      <c r="DD308" s="90"/>
      <c r="DE308" s="90"/>
      <c r="DF308" s="90"/>
      <c r="DG308" s="90"/>
      <c r="DH308" s="90"/>
      <c r="DI308" s="90"/>
      <c r="DJ308" s="90"/>
      <c r="DK308" s="90"/>
      <c r="DL308" s="90"/>
      <c r="DM308" s="90"/>
      <c r="DN308" s="90"/>
      <c r="DO308" s="90"/>
      <c r="DP308" s="90"/>
      <c r="DQ308" s="90"/>
      <c r="DR308" s="90"/>
      <c r="DS308" s="90"/>
      <c r="DT308" s="90"/>
      <c r="DU308" s="90"/>
      <c r="DV308" s="90"/>
      <c r="DW308" s="90"/>
      <c r="DX308" s="90"/>
      <c r="DY308" s="90"/>
      <c r="DZ308" s="90"/>
      <c r="EA308" s="90"/>
      <c r="EB308" s="90"/>
      <c r="EC308" s="90"/>
      <c r="ED308" s="90"/>
      <c r="EE308" s="90"/>
      <c r="EF308" s="90"/>
      <c r="EG308" s="90"/>
      <c r="EH308" s="90"/>
      <c r="EI308" s="90"/>
      <c r="EJ308" s="90"/>
      <c r="EK308" s="90"/>
      <c r="EL308" s="90"/>
      <c r="EM308" s="90"/>
      <c r="EN308" s="90"/>
      <c r="EO308" s="90"/>
      <c r="EP308" s="90"/>
      <c r="EQ308" s="90"/>
      <c r="ER308" s="90"/>
    </row>
    <row r="309" spans="2:148" s="84" customFormat="1" ht="24.75" customHeight="1">
      <c r="B309" s="85"/>
      <c r="C309" s="106" t="s">
        <v>143</v>
      </c>
      <c r="D309" s="107"/>
      <c r="E309" s="108"/>
      <c r="F309" s="108"/>
      <c r="G309" s="108"/>
      <c r="H309" s="108"/>
      <c r="I309" s="107"/>
      <c r="J309" s="109"/>
      <c r="K309" s="107"/>
      <c r="L309" s="110"/>
      <c r="M309" s="110"/>
      <c r="N309" s="110"/>
      <c r="O309" s="86"/>
      <c r="P309" s="89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90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0"/>
      <c r="CX309" s="90"/>
      <c r="CY309" s="90"/>
      <c r="CZ309" s="90"/>
      <c r="DA309" s="90"/>
      <c r="DB309" s="90"/>
      <c r="DC309" s="90"/>
      <c r="DD309" s="90"/>
      <c r="DE309" s="90"/>
      <c r="DF309" s="90"/>
      <c r="DG309" s="90"/>
      <c r="DH309" s="90"/>
      <c r="DI309" s="90"/>
      <c r="DJ309" s="90"/>
      <c r="DK309" s="90"/>
      <c r="DL309" s="90"/>
      <c r="DM309" s="90"/>
      <c r="DN309" s="90"/>
      <c r="DO309" s="90"/>
      <c r="DP309" s="90"/>
      <c r="DQ309" s="90"/>
      <c r="DR309" s="90"/>
      <c r="DS309" s="90"/>
      <c r="DT309" s="90"/>
      <c r="DU309" s="90"/>
      <c r="DV309" s="90"/>
      <c r="DW309" s="90"/>
      <c r="DX309" s="90"/>
      <c r="DY309" s="90"/>
      <c r="DZ309" s="90"/>
      <c r="EA309" s="90"/>
      <c r="EB309" s="90"/>
      <c r="EC309" s="90"/>
      <c r="ED309" s="90"/>
      <c r="EE309" s="90"/>
      <c r="EF309" s="90"/>
      <c r="EG309" s="90"/>
      <c r="EH309" s="90"/>
      <c r="EI309" s="90"/>
      <c r="EJ309" s="90"/>
      <c r="EK309" s="90"/>
      <c r="EL309" s="90"/>
      <c r="EM309" s="90"/>
      <c r="EN309" s="90"/>
      <c r="EO309" s="90"/>
      <c r="EP309" s="90"/>
      <c r="EQ309" s="90"/>
      <c r="ER309" s="90"/>
    </row>
    <row r="310" spans="2:148" s="84" customFormat="1" ht="24.75" customHeight="1">
      <c r="B310" s="85"/>
      <c r="C310" s="106" t="s">
        <v>144</v>
      </c>
      <c r="D310" s="107"/>
      <c r="E310" s="108"/>
      <c r="F310" s="108"/>
      <c r="G310" s="108"/>
      <c r="H310" s="108"/>
      <c r="I310" s="107"/>
      <c r="J310" s="109"/>
      <c r="K310" s="107"/>
      <c r="L310" s="110"/>
      <c r="M310" s="110"/>
      <c r="N310" s="110"/>
      <c r="O310" s="86"/>
      <c r="P310" s="89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90"/>
      <c r="CB310" s="90"/>
      <c r="CC310" s="90"/>
      <c r="CD310" s="90"/>
      <c r="CE310" s="90"/>
      <c r="CF310" s="90"/>
      <c r="CG310" s="90"/>
      <c r="CH310" s="90"/>
      <c r="CI310" s="90"/>
      <c r="CJ310" s="90"/>
      <c r="CK310" s="90"/>
      <c r="CL310" s="90"/>
      <c r="CM310" s="90"/>
      <c r="CN310" s="90"/>
      <c r="CO310" s="90"/>
      <c r="CP310" s="90"/>
      <c r="CQ310" s="90"/>
      <c r="CR310" s="90"/>
      <c r="CS310" s="90"/>
      <c r="CT310" s="90"/>
      <c r="CU310" s="90"/>
      <c r="CV310" s="90"/>
      <c r="CW310" s="90"/>
      <c r="CX310" s="90"/>
      <c r="CY310" s="90"/>
      <c r="CZ310" s="90"/>
      <c r="DA310" s="90"/>
      <c r="DB310" s="90"/>
      <c r="DC310" s="90"/>
      <c r="DD310" s="90"/>
      <c r="DE310" s="90"/>
      <c r="DF310" s="90"/>
      <c r="DG310" s="90"/>
      <c r="DH310" s="90"/>
      <c r="DI310" s="90"/>
      <c r="DJ310" s="90"/>
      <c r="DK310" s="90"/>
      <c r="DL310" s="90"/>
      <c r="DM310" s="90"/>
      <c r="DN310" s="90"/>
      <c r="DO310" s="90"/>
      <c r="DP310" s="90"/>
      <c r="DQ310" s="90"/>
      <c r="DR310" s="90"/>
      <c r="DS310" s="90"/>
      <c r="DT310" s="90"/>
      <c r="DU310" s="90"/>
      <c r="DV310" s="90"/>
      <c r="DW310" s="90"/>
      <c r="DX310" s="90"/>
      <c r="DY310" s="90"/>
      <c r="DZ310" s="90"/>
      <c r="EA310" s="90"/>
      <c r="EB310" s="90"/>
      <c r="EC310" s="90"/>
      <c r="ED310" s="90"/>
      <c r="EE310" s="90"/>
      <c r="EF310" s="90"/>
      <c r="EG310" s="90"/>
      <c r="EH310" s="90"/>
      <c r="EI310" s="90"/>
      <c r="EJ310" s="90"/>
      <c r="EK310" s="90"/>
      <c r="EL310" s="90"/>
      <c r="EM310" s="90"/>
      <c r="EN310" s="90"/>
      <c r="EO310" s="90"/>
      <c r="EP310" s="90"/>
      <c r="EQ310" s="90"/>
      <c r="ER310" s="90"/>
    </row>
    <row r="311" spans="2:148" s="84" customFormat="1" ht="24.75" customHeight="1">
      <c r="B311" s="85"/>
      <c r="C311" s="111" t="s">
        <v>145</v>
      </c>
      <c r="D311" s="112"/>
      <c r="E311" s="113"/>
      <c r="F311" s="113"/>
      <c r="G311" s="113"/>
      <c r="H311" s="113"/>
      <c r="I311" s="112"/>
      <c r="J311" s="114"/>
      <c r="K311" s="112"/>
      <c r="L311" s="110"/>
      <c r="M311" s="110"/>
      <c r="N311" s="110"/>
      <c r="O311" s="86"/>
      <c r="P311" s="89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90"/>
      <c r="CM311" s="90"/>
      <c r="CN311" s="90"/>
      <c r="CO311" s="90"/>
      <c r="CP311" s="90"/>
      <c r="CQ311" s="90"/>
      <c r="CR311" s="90"/>
      <c r="CS311" s="90"/>
      <c r="CT311" s="90"/>
      <c r="CU311" s="90"/>
      <c r="CV311" s="90"/>
      <c r="CW311" s="90"/>
      <c r="CX311" s="90"/>
      <c r="CY311" s="90"/>
      <c r="CZ311" s="90"/>
      <c r="DA311" s="90"/>
      <c r="DB311" s="90"/>
      <c r="DC311" s="90"/>
      <c r="DD311" s="90"/>
      <c r="DE311" s="90"/>
      <c r="DF311" s="90"/>
      <c r="DG311" s="90"/>
      <c r="DH311" s="90"/>
      <c r="DI311" s="90"/>
      <c r="DJ311" s="90"/>
      <c r="DK311" s="90"/>
      <c r="DL311" s="90"/>
      <c r="DM311" s="90"/>
      <c r="DN311" s="90"/>
      <c r="DO311" s="90"/>
      <c r="DP311" s="90"/>
      <c r="DQ311" s="90"/>
      <c r="DR311" s="90"/>
      <c r="DS311" s="90"/>
      <c r="DT311" s="90"/>
      <c r="DU311" s="90"/>
      <c r="DV311" s="90"/>
      <c r="DW311" s="90"/>
      <c r="DX311" s="90"/>
      <c r="DY311" s="90"/>
      <c r="DZ311" s="90"/>
      <c r="EA311" s="90"/>
      <c r="EB311" s="90"/>
      <c r="EC311" s="90"/>
      <c r="ED311" s="90"/>
      <c r="EE311" s="90"/>
      <c r="EF311" s="90"/>
      <c r="EG311" s="90"/>
      <c r="EH311" s="90"/>
      <c r="EI311" s="90"/>
      <c r="EJ311" s="90"/>
      <c r="EK311" s="90"/>
      <c r="EL311" s="90"/>
      <c r="EM311" s="90"/>
      <c r="EN311" s="90"/>
      <c r="EO311" s="90"/>
      <c r="EP311" s="90"/>
      <c r="EQ311" s="90"/>
      <c r="ER311" s="90"/>
    </row>
    <row r="312" spans="2:16" ht="12" customHeight="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7"/>
    </row>
    <row r="314" ht="18.75" customHeight="1"/>
    <row r="316" spans="2:16" ht="3.75" customHeight="1">
      <c r="B316" s="61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3"/>
    </row>
    <row r="317" spans="2:16" ht="27.75" customHeight="1">
      <c r="B317" s="64"/>
      <c r="C317" s="65"/>
      <c r="D317" s="65"/>
      <c r="E317" s="65"/>
      <c r="F317" s="65"/>
      <c r="G317" s="66"/>
      <c r="H317" s="65"/>
      <c r="I317" s="65"/>
      <c r="J317" s="65"/>
      <c r="K317" s="65"/>
      <c r="L317" s="65"/>
      <c r="M317" s="134" t="s">
        <v>122</v>
      </c>
      <c r="N317" s="230"/>
      <c r="O317" s="231"/>
      <c r="P317" s="67"/>
    </row>
    <row r="318" spans="2:148" s="68" customFormat="1" ht="34.5" customHeight="1">
      <c r="B318" s="69"/>
      <c r="C318" s="232">
        <f>IF(M3="","",IF(INDEX(участники!$A$102:$M$963,$M$3+15-100,13)="","",INDEX(участники!$A$102:$M$963,$M$3+15-100,13)))</f>
      </c>
      <c r="D318" s="233"/>
      <c r="E318" s="70"/>
      <c r="F318" s="234"/>
      <c r="G318" s="235"/>
      <c r="H318" s="65"/>
      <c r="I318" s="71"/>
      <c r="J318" s="236">
        <f>IF(M3="","",IF(INDEX(участники!$A$102:$M$963,$M$3+15-100,1)="","",INDEX(участники!$A$102:$M$963,$M$3+15-100,1)))</f>
      </c>
      <c r="K318" s="237"/>
      <c r="L318" s="71"/>
      <c r="M318" s="134" t="s">
        <v>123</v>
      </c>
      <c r="N318" s="130" t="str">
        <f>IF(M3="","",CONCATENATE(IF(INDEX(участники!$A$102:$M$963,$M$3+15-100,3)="","",INDEX(участники!$A$102:$M$963,$M$3+15-100,3)),"  ",IF(INDEX(участники!$A$102:$M$963,$M$3+15-100,3)="","",INDEX(участники!$A$104:$M$963,$M$3+15-100,3))))</f>
        <v>  </v>
      </c>
      <c r="O318" s="72"/>
      <c r="P318" s="73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74"/>
      <c r="CB318" s="74"/>
      <c r="CC318" s="74"/>
      <c r="CD318" s="74"/>
      <c r="CE318" s="74"/>
      <c r="CF318" s="74"/>
      <c r="CG318" s="74"/>
      <c r="CH318" s="74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</row>
    <row r="319" spans="2:148" s="75" customFormat="1" ht="15.75" customHeight="1">
      <c r="B319" s="76"/>
      <c r="C319" s="224" t="s">
        <v>124</v>
      </c>
      <c r="D319" s="224"/>
      <c r="E319" s="77"/>
      <c r="F319" s="225" t="s">
        <v>125</v>
      </c>
      <c r="G319" s="225"/>
      <c r="H319" s="78"/>
      <c r="I319" s="77"/>
      <c r="J319" s="224" t="s">
        <v>126</v>
      </c>
      <c r="K319" s="224"/>
      <c r="L319" s="79"/>
      <c r="M319" s="79"/>
      <c r="N319" s="79"/>
      <c r="O319" s="79"/>
      <c r="P319" s="80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</row>
    <row r="320" spans="2:16" ht="40.5" customHeight="1">
      <c r="B320" s="64"/>
      <c r="C320" s="226">
        <f>IF(M3="","",IF(INDEX(участники!$A$102:$M$962,$M$3+15-100,2)="","",INDEX(участники!$A$102:$M$962,$M$3+15-100,2)))</f>
      </c>
      <c r="D320" s="226"/>
      <c r="E320" s="226"/>
      <c r="F320" s="226"/>
      <c r="G320" s="226"/>
      <c r="H320" s="226"/>
      <c r="I320" s="82"/>
      <c r="J320" s="227">
        <f>IF(M3="","",IF(INDEX(участники!$A$102:$M$962,$M$3+15-100,4)="","",INDEX(участники!$A$102:$M$962,$M$3+15-100,4)))</f>
      </c>
      <c r="K320" s="227"/>
      <c r="L320" s="83"/>
      <c r="M320" s="131">
        <f>IF(M3="","",IF(INDEX(участники!$A$102:$M$962,$M$3+15-100,5)="","",INDEX(участники!$A$102:$M$962,$M$3+15-100,5)))</f>
      </c>
      <c r="N320" s="65"/>
      <c r="O320" s="65"/>
      <c r="P320" s="67"/>
    </row>
    <row r="321" spans="2:148" s="84" customFormat="1" ht="12.75" customHeight="1">
      <c r="B321" s="85"/>
      <c r="C321" s="86" t="s">
        <v>127</v>
      </c>
      <c r="D321" s="86"/>
      <c r="E321" s="86"/>
      <c r="F321" s="86"/>
      <c r="G321" s="86"/>
      <c r="H321" s="86"/>
      <c r="I321" s="86"/>
      <c r="J321" s="228" t="s">
        <v>128</v>
      </c>
      <c r="K321" s="228"/>
      <c r="L321" s="86"/>
      <c r="M321" s="88" t="s">
        <v>129</v>
      </c>
      <c r="N321" s="86"/>
      <c r="O321" s="86"/>
      <c r="P321" s="89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90"/>
      <c r="CB321" s="90"/>
      <c r="CC321" s="90"/>
      <c r="CD321" s="90"/>
      <c r="CE321" s="90"/>
      <c r="CF321" s="90"/>
      <c r="CG321" s="90"/>
      <c r="CH321" s="90"/>
      <c r="CI321" s="90"/>
      <c r="CJ321" s="90"/>
      <c r="CK321" s="90"/>
      <c r="CL321" s="90"/>
      <c r="CM321" s="90"/>
      <c r="CN321" s="90"/>
      <c r="CO321" s="90"/>
      <c r="CP321" s="90"/>
      <c r="CQ321" s="90"/>
      <c r="CR321" s="90"/>
      <c r="CS321" s="90"/>
      <c r="CT321" s="90"/>
      <c r="CU321" s="90"/>
      <c r="CV321" s="90"/>
      <c r="CW321" s="90"/>
      <c r="CX321" s="90"/>
      <c r="CY321" s="90"/>
      <c r="CZ321" s="90"/>
      <c r="DA321" s="90"/>
      <c r="DB321" s="90"/>
      <c r="DC321" s="90"/>
      <c r="DD321" s="90"/>
      <c r="DE321" s="90"/>
      <c r="DF321" s="90"/>
      <c r="DG321" s="90"/>
      <c r="DH321" s="90"/>
      <c r="DI321" s="90"/>
      <c r="DJ321" s="90"/>
      <c r="DK321" s="90"/>
      <c r="DL321" s="90"/>
      <c r="DM321" s="90"/>
      <c r="DN321" s="90"/>
      <c r="DO321" s="90"/>
      <c r="DP321" s="90"/>
      <c r="DQ321" s="90"/>
      <c r="DR321" s="90"/>
      <c r="DS321" s="90"/>
      <c r="DT321" s="90"/>
      <c r="DU321" s="90"/>
      <c r="DV321" s="90"/>
      <c r="DW321" s="90"/>
      <c r="DX321" s="90"/>
      <c r="DY321" s="90"/>
      <c r="DZ321" s="90"/>
      <c r="EA321" s="90"/>
      <c r="EB321" s="90"/>
      <c r="EC321" s="90"/>
      <c r="ED321" s="90"/>
      <c r="EE321" s="90"/>
      <c r="EF321" s="90"/>
      <c r="EG321" s="90"/>
      <c r="EH321" s="90"/>
      <c r="EI321" s="90"/>
      <c r="EJ321" s="90"/>
      <c r="EK321" s="90"/>
      <c r="EL321" s="90"/>
      <c r="EM321" s="90"/>
      <c r="EN321" s="90"/>
      <c r="EO321" s="90"/>
      <c r="EP321" s="90"/>
      <c r="EQ321" s="90"/>
      <c r="ER321" s="90"/>
    </row>
    <row r="322" spans="2:148" s="91" customFormat="1" ht="35.25" customHeight="1">
      <c r="B322" s="92"/>
      <c r="C322" s="229">
        <f>IF(M3="","",IF(INDEX(участники!$A$102:$M$962,$M$3+15-100,6)="","",INDEX(участники!$A$102:$M$962,$M$3+15-100,6)))</f>
      </c>
      <c r="D322" s="220"/>
      <c r="E322" s="220"/>
      <c r="F322" s="220"/>
      <c r="G322" s="93"/>
      <c r="H322" s="216">
        <f>IF(M3="","",IF(INDEX(участники!$A$102:$M$962,$M$3+15-100,8)="","",INDEX(участники!$A$102:$M$962,$M$3+15-100,8)))</f>
      </c>
      <c r="I322" s="216"/>
      <c r="J322" s="216"/>
      <c r="K322" s="94"/>
      <c r="L322" s="221"/>
      <c r="M322" s="221"/>
      <c r="N322" s="221"/>
      <c r="O322" s="94"/>
      <c r="P322" s="95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/>
      <c r="AE322" s="96"/>
      <c r="AF322" s="96"/>
      <c r="AG322" s="96"/>
      <c r="AH322" s="96"/>
      <c r="AI322" s="96"/>
      <c r="AJ322" s="96"/>
      <c r="AK322" s="96"/>
      <c r="AL322" s="96"/>
      <c r="AM322" s="96"/>
      <c r="AN322" s="96"/>
      <c r="AO322" s="96"/>
      <c r="AP322" s="96"/>
      <c r="AQ322" s="96"/>
      <c r="AR322" s="96"/>
      <c r="AS322" s="96"/>
      <c r="AT322" s="96"/>
      <c r="AU322" s="96"/>
      <c r="AV322" s="96"/>
      <c r="AW322" s="96"/>
      <c r="AX322" s="96"/>
      <c r="AY322" s="96"/>
      <c r="AZ322" s="96"/>
      <c r="BA322" s="96"/>
      <c r="BB322" s="96"/>
      <c r="BC322" s="96"/>
      <c r="BD322" s="96"/>
      <c r="BE322" s="96"/>
      <c r="BF322" s="96"/>
      <c r="BG322" s="96"/>
      <c r="BH322" s="96"/>
      <c r="BI322" s="96"/>
      <c r="BJ322" s="96"/>
      <c r="BK322" s="96"/>
      <c r="BL322" s="96"/>
      <c r="BM322" s="96"/>
      <c r="BN322" s="96"/>
      <c r="BO322" s="96"/>
      <c r="BP322" s="96"/>
      <c r="BQ322" s="96"/>
      <c r="BR322" s="96"/>
      <c r="BS322" s="96"/>
      <c r="BT322" s="96"/>
      <c r="BU322" s="96"/>
      <c r="BV322" s="96"/>
      <c r="BW322" s="96"/>
      <c r="BX322" s="96"/>
      <c r="BY322" s="96"/>
      <c r="BZ322" s="96"/>
      <c r="CA322" s="96"/>
      <c r="CB322" s="96"/>
      <c r="CC322" s="96"/>
      <c r="CD322" s="96"/>
      <c r="CE322" s="96"/>
      <c r="CF322" s="96"/>
      <c r="CG322" s="96"/>
      <c r="CH322" s="96"/>
      <c r="CI322" s="96"/>
      <c r="CJ322" s="96"/>
      <c r="CK322" s="96"/>
      <c r="CL322" s="96"/>
      <c r="CM322" s="96"/>
      <c r="CN322" s="96"/>
      <c r="CO322" s="96"/>
      <c r="CP322" s="96"/>
      <c r="CQ322" s="96"/>
      <c r="CR322" s="96"/>
      <c r="CS322" s="96"/>
      <c r="CT322" s="96"/>
      <c r="CU322" s="96"/>
      <c r="CV322" s="96"/>
      <c r="CW322" s="96"/>
      <c r="CX322" s="96"/>
      <c r="CY322" s="96"/>
      <c r="CZ322" s="96"/>
      <c r="DA322" s="96"/>
      <c r="DB322" s="96"/>
      <c r="DC322" s="96"/>
      <c r="DD322" s="96"/>
      <c r="DE322" s="96"/>
      <c r="DF322" s="96"/>
      <c r="DG322" s="96"/>
      <c r="DH322" s="96"/>
      <c r="DI322" s="96"/>
      <c r="DJ322" s="96"/>
      <c r="DK322" s="96"/>
      <c r="DL322" s="96"/>
      <c r="DM322" s="96"/>
      <c r="DN322" s="96"/>
      <c r="DO322" s="96"/>
      <c r="DP322" s="96"/>
      <c r="DQ322" s="96"/>
      <c r="DR322" s="96"/>
      <c r="DS322" s="96"/>
      <c r="DT322" s="96"/>
      <c r="DU322" s="96"/>
      <c r="DV322" s="96"/>
      <c r="DW322" s="96"/>
      <c r="DX322" s="96"/>
      <c r="DY322" s="96"/>
      <c r="DZ322" s="96"/>
      <c r="EA322" s="96"/>
      <c r="EB322" s="96"/>
      <c r="EC322" s="96"/>
      <c r="ED322" s="96"/>
      <c r="EE322" s="96"/>
      <c r="EF322" s="96"/>
      <c r="EG322" s="96"/>
      <c r="EH322" s="96"/>
      <c r="EI322" s="96"/>
      <c r="EJ322" s="96"/>
      <c r="EK322" s="96"/>
      <c r="EL322" s="96"/>
      <c r="EM322" s="96"/>
      <c r="EN322" s="96"/>
      <c r="EO322" s="96"/>
      <c r="EP322" s="96"/>
      <c r="EQ322" s="96"/>
      <c r="ER322" s="96"/>
    </row>
    <row r="323" spans="2:148" s="84" customFormat="1" ht="11.25" customHeight="1">
      <c r="B323" s="85"/>
      <c r="C323" s="86" t="s">
        <v>130</v>
      </c>
      <c r="D323" s="86"/>
      <c r="E323" s="86"/>
      <c r="F323" s="86"/>
      <c r="G323" s="97"/>
      <c r="H323" s="217" t="s">
        <v>131</v>
      </c>
      <c r="I323" s="217"/>
      <c r="J323" s="217"/>
      <c r="K323" s="86"/>
      <c r="L323" s="218"/>
      <c r="M323" s="218"/>
      <c r="N323" s="218"/>
      <c r="O323" s="86"/>
      <c r="P323" s="89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  <c r="BZ323" s="90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90"/>
      <c r="CM323" s="90"/>
      <c r="CN323" s="90"/>
      <c r="CO323" s="90"/>
      <c r="CP323" s="90"/>
      <c r="CQ323" s="90"/>
      <c r="CR323" s="90"/>
      <c r="CS323" s="90"/>
      <c r="CT323" s="90"/>
      <c r="CU323" s="90"/>
      <c r="CV323" s="90"/>
      <c r="CW323" s="90"/>
      <c r="CX323" s="90"/>
      <c r="CY323" s="90"/>
      <c r="CZ323" s="90"/>
      <c r="DA323" s="90"/>
      <c r="DB323" s="90"/>
      <c r="DC323" s="90"/>
      <c r="DD323" s="90"/>
      <c r="DE323" s="90"/>
      <c r="DF323" s="90"/>
      <c r="DG323" s="90"/>
      <c r="DH323" s="90"/>
      <c r="DI323" s="90"/>
      <c r="DJ323" s="90"/>
      <c r="DK323" s="90"/>
      <c r="DL323" s="90"/>
      <c r="DM323" s="90"/>
      <c r="DN323" s="90"/>
      <c r="DO323" s="90"/>
      <c r="DP323" s="90"/>
      <c r="DQ323" s="90"/>
      <c r="DR323" s="90"/>
      <c r="DS323" s="90"/>
      <c r="DT323" s="90"/>
      <c r="DU323" s="90"/>
      <c r="DV323" s="90"/>
      <c r="DW323" s="90"/>
      <c r="DX323" s="90"/>
      <c r="DY323" s="90"/>
      <c r="DZ323" s="90"/>
      <c r="EA323" s="90"/>
      <c r="EB323" s="90"/>
      <c r="EC323" s="90"/>
      <c r="ED323" s="90"/>
      <c r="EE323" s="90"/>
      <c r="EF323" s="90"/>
      <c r="EG323" s="90"/>
      <c r="EH323" s="90"/>
      <c r="EI323" s="90"/>
      <c r="EJ323" s="90"/>
      <c r="EK323" s="90"/>
      <c r="EL323" s="90"/>
      <c r="EM323" s="90"/>
      <c r="EN323" s="90"/>
      <c r="EO323" s="90"/>
      <c r="EP323" s="90"/>
      <c r="EQ323" s="90"/>
      <c r="ER323" s="90"/>
    </row>
    <row r="324" spans="2:148" s="91" customFormat="1" ht="24" customHeight="1">
      <c r="B324" s="92"/>
      <c r="C324" s="219">
        <f>IF(M3="","",IF(INDEX(участники!$A$102:$M$962,$M$3+15-100,7)="","",INDEX(участники!$A$102:$M$962,$M$3+15-100,7)))</f>
      </c>
      <c r="D324" s="220"/>
      <c r="E324" s="220"/>
      <c r="F324" s="220"/>
      <c r="G324" s="93"/>
      <c r="H324" s="216">
        <f>IF(M3="","",IF(INDEX(участники!$A$102:$M$962,$M$3+15-100,9)="","",INDEX(участники!$A$102:$M$962,$M$3+15-100,9)))</f>
      </c>
      <c r="I324" s="216"/>
      <c r="J324" s="216"/>
      <c r="K324" s="216"/>
      <c r="L324" s="216"/>
      <c r="M324" s="216"/>
      <c r="N324" s="216"/>
      <c r="O324" s="94"/>
      <c r="P324" s="95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  <c r="AH324" s="96"/>
      <c r="AI324" s="96"/>
      <c r="AJ324" s="96"/>
      <c r="AK324" s="96"/>
      <c r="AL324" s="96"/>
      <c r="AM324" s="96"/>
      <c r="AN324" s="96"/>
      <c r="AO324" s="96"/>
      <c r="AP324" s="96"/>
      <c r="AQ324" s="96"/>
      <c r="AR324" s="96"/>
      <c r="AS324" s="96"/>
      <c r="AT324" s="96"/>
      <c r="AU324" s="96"/>
      <c r="AV324" s="96"/>
      <c r="AW324" s="96"/>
      <c r="AX324" s="96"/>
      <c r="AY324" s="96"/>
      <c r="AZ324" s="96"/>
      <c r="BA324" s="96"/>
      <c r="BB324" s="96"/>
      <c r="BC324" s="96"/>
      <c r="BD324" s="96"/>
      <c r="BE324" s="96"/>
      <c r="BF324" s="96"/>
      <c r="BG324" s="96"/>
      <c r="BH324" s="96"/>
      <c r="BI324" s="96"/>
      <c r="BJ324" s="96"/>
      <c r="BK324" s="96"/>
      <c r="BL324" s="96"/>
      <c r="BM324" s="96"/>
      <c r="BN324" s="96"/>
      <c r="BO324" s="96"/>
      <c r="BP324" s="96"/>
      <c r="BQ324" s="96"/>
      <c r="BR324" s="96"/>
      <c r="BS324" s="96"/>
      <c r="BT324" s="96"/>
      <c r="BU324" s="96"/>
      <c r="BV324" s="96"/>
      <c r="BW324" s="96"/>
      <c r="BX324" s="96"/>
      <c r="BY324" s="96"/>
      <c r="BZ324" s="96"/>
      <c r="CA324" s="96"/>
      <c r="CB324" s="96"/>
      <c r="CC324" s="96"/>
      <c r="CD324" s="96"/>
      <c r="CE324" s="96"/>
      <c r="CF324" s="96"/>
      <c r="CG324" s="96"/>
      <c r="CH324" s="96"/>
      <c r="CI324" s="96"/>
      <c r="CJ324" s="96"/>
      <c r="CK324" s="96"/>
      <c r="CL324" s="96"/>
      <c r="CM324" s="96"/>
      <c r="CN324" s="96"/>
      <c r="CO324" s="96"/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6"/>
      <c r="DE324" s="96"/>
      <c r="DF324" s="96"/>
      <c r="DG324" s="96"/>
      <c r="DH324" s="96"/>
      <c r="DI324" s="96"/>
      <c r="DJ324" s="96"/>
      <c r="DK324" s="96"/>
      <c r="DL324" s="96"/>
      <c r="DM324" s="96"/>
      <c r="DN324" s="96"/>
      <c r="DO324" s="96"/>
      <c r="DP324" s="96"/>
      <c r="DQ324" s="96"/>
      <c r="DR324" s="96"/>
      <c r="DS324" s="96"/>
      <c r="DT324" s="96"/>
      <c r="DU324" s="96"/>
      <c r="DV324" s="96"/>
      <c r="DW324" s="96"/>
      <c r="DX324" s="96"/>
      <c r="DY324" s="96"/>
      <c r="DZ324" s="96"/>
      <c r="EA324" s="96"/>
      <c r="EB324" s="96"/>
      <c r="EC324" s="96"/>
      <c r="ED324" s="96"/>
      <c r="EE324" s="96"/>
      <c r="EF324" s="96"/>
      <c r="EG324" s="96"/>
      <c r="EH324" s="96"/>
      <c r="EI324" s="96"/>
      <c r="EJ324" s="96"/>
      <c r="EK324" s="96"/>
      <c r="EL324" s="96"/>
      <c r="EM324" s="96"/>
      <c r="EN324" s="96"/>
      <c r="EO324" s="96"/>
      <c r="EP324" s="96"/>
      <c r="EQ324" s="96"/>
      <c r="ER324" s="96"/>
    </row>
    <row r="325" spans="2:148" s="84" customFormat="1" ht="9.75" customHeight="1">
      <c r="B325" s="85"/>
      <c r="C325" s="86" t="s">
        <v>132</v>
      </c>
      <c r="D325" s="86"/>
      <c r="E325" s="86"/>
      <c r="F325" s="86"/>
      <c r="G325" s="86"/>
      <c r="H325" s="217" t="s">
        <v>133</v>
      </c>
      <c r="I325" s="217"/>
      <c r="J325" s="217"/>
      <c r="K325" s="217"/>
      <c r="L325" s="217"/>
      <c r="M325" s="217"/>
      <c r="N325" s="86"/>
      <c r="O325" s="86"/>
      <c r="P325" s="89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  <c r="BZ325" s="90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90"/>
      <c r="CM325" s="90"/>
      <c r="CN325" s="90"/>
      <c r="CO325" s="90"/>
      <c r="CP325" s="90"/>
      <c r="CQ325" s="90"/>
      <c r="CR325" s="90"/>
      <c r="CS325" s="90"/>
      <c r="CT325" s="90"/>
      <c r="CU325" s="90"/>
      <c r="CV325" s="90"/>
      <c r="CW325" s="90"/>
      <c r="CX325" s="90"/>
      <c r="CY325" s="90"/>
      <c r="CZ325" s="90"/>
      <c r="DA325" s="90"/>
      <c r="DB325" s="90"/>
      <c r="DC325" s="90"/>
      <c r="DD325" s="90"/>
      <c r="DE325" s="90"/>
      <c r="DF325" s="90"/>
      <c r="DG325" s="90"/>
      <c r="DH325" s="90"/>
      <c r="DI325" s="90"/>
      <c r="DJ325" s="90"/>
      <c r="DK325" s="90"/>
      <c r="DL325" s="90"/>
      <c r="DM325" s="90"/>
      <c r="DN325" s="90"/>
      <c r="DO325" s="90"/>
      <c r="DP325" s="90"/>
      <c r="DQ325" s="90"/>
      <c r="DR325" s="90"/>
      <c r="DS325" s="90"/>
      <c r="DT325" s="90"/>
      <c r="DU325" s="90"/>
      <c r="DV325" s="90"/>
      <c r="DW325" s="90"/>
      <c r="DX325" s="90"/>
      <c r="DY325" s="90"/>
      <c r="DZ325" s="90"/>
      <c r="EA325" s="90"/>
      <c r="EB325" s="90"/>
      <c r="EC325" s="90"/>
      <c r="ED325" s="90"/>
      <c r="EE325" s="90"/>
      <c r="EF325" s="90"/>
      <c r="EG325" s="90"/>
      <c r="EH325" s="90"/>
      <c r="EI325" s="90"/>
      <c r="EJ325" s="90"/>
      <c r="EK325" s="90"/>
      <c r="EL325" s="90"/>
      <c r="EM325" s="90"/>
      <c r="EN325" s="90"/>
      <c r="EO325" s="90"/>
      <c r="EP325" s="90"/>
      <c r="EQ325" s="90"/>
      <c r="ER325" s="90"/>
    </row>
    <row r="326" spans="2:148" s="84" customFormat="1" ht="9.75" customHeight="1">
      <c r="B326" s="85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9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90"/>
      <c r="CM326" s="90"/>
      <c r="CN326" s="90"/>
      <c r="CO326" s="90"/>
      <c r="CP326" s="90"/>
      <c r="CQ326" s="90"/>
      <c r="CR326" s="90"/>
      <c r="CS326" s="90"/>
      <c r="CT326" s="90"/>
      <c r="CU326" s="90"/>
      <c r="CV326" s="90"/>
      <c r="CW326" s="90"/>
      <c r="CX326" s="90"/>
      <c r="CY326" s="90"/>
      <c r="CZ326" s="90"/>
      <c r="DA326" s="90"/>
      <c r="DB326" s="90"/>
      <c r="DC326" s="90"/>
      <c r="DD326" s="90"/>
      <c r="DE326" s="90"/>
      <c r="DF326" s="90"/>
      <c r="DG326" s="90"/>
      <c r="DH326" s="90"/>
      <c r="DI326" s="90"/>
      <c r="DJ326" s="90"/>
      <c r="DK326" s="90"/>
      <c r="DL326" s="90"/>
      <c r="DM326" s="90"/>
      <c r="DN326" s="90"/>
      <c r="DO326" s="90"/>
      <c r="DP326" s="90"/>
      <c r="DQ326" s="90"/>
      <c r="DR326" s="90"/>
      <c r="DS326" s="90"/>
      <c r="DT326" s="90"/>
      <c r="DU326" s="90"/>
      <c r="DV326" s="90"/>
      <c r="DW326" s="90"/>
      <c r="DX326" s="90"/>
      <c r="DY326" s="90"/>
      <c r="DZ326" s="90"/>
      <c r="EA326" s="90"/>
      <c r="EB326" s="90"/>
      <c r="EC326" s="90"/>
      <c r="ED326" s="90"/>
      <c r="EE326" s="90"/>
      <c r="EF326" s="90"/>
      <c r="EG326" s="90"/>
      <c r="EH326" s="90"/>
      <c r="EI326" s="90"/>
      <c r="EJ326" s="90"/>
      <c r="EK326" s="90"/>
      <c r="EL326" s="90"/>
      <c r="EM326" s="90"/>
      <c r="EN326" s="90"/>
      <c r="EO326" s="90"/>
      <c r="EP326" s="90"/>
      <c r="EQ326" s="90"/>
      <c r="ER326" s="90"/>
    </row>
    <row r="327" spans="2:16" ht="26.25" customHeight="1">
      <c r="B327" s="64"/>
      <c r="C327" s="214">
        <f>IF(M3="","",IF(INDEX(участники!$A$102:$M$962,$M$3+15-100,10)="","",INDEX(участники!$A$102:$M$962,$M$3+15-100,10)))</f>
      </c>
      <c r="D327" s="215"/>
      <c r="E327" s="215"/>
      <c r="F327" s="215"/>
      <c r="G327" s="215"/>
      <c r="H327" s="215"/>
      <c r="I327" s="215"/>
      <c r="J327" s="215"/>
      <c r="K327" s="65"/>
      <c r="L327" s="132">
        <f>IF(M3="","",IF(INDEX(участники!$A$102:$M$962,$M$3+15-100,11)="","",INDEX(участники!$A$102:$M$962,$M$3+15-100,11)))</f>
      </c>
      <c r="M327" s="98"/>
      <c r="N327" s="132">
        <f>IF(M3="","",IF(INDEX(участники!$A$102:$M$962,$M$3+15-100,12)="","",INDEX(участники!$A$102:$M$962,$M$3+15-100,12)))</f>
      </c>
      <c r="O327" s="65"/>
      <c r="P327" s="67"/>
    </row>
    <row r="328" spans="2:148" s="84" customFormat="1" ht="14.25" customHeight="1">
      <c r="B328" s="85"/>
      <c r="C328" s="86" t="s">
        <v>134</v>
      </c>
      <c r="D328" s="86"/>
      <c r="E328" s="86"/>
      <c r="F328" s="86"/>
      <c r="G328" s="86"/>
      <c r="H328" s="86"/>
      <c r="I328" s="86"/>
      <c r="J328" s="218"/>
      <c r="K328" s="218"/>
      <c r="L328" s="87" t="s">
        <v>135</v>
      </c>
      <c r="M328" s="99"/>
      <c r="N328" s="133" t="s">
        <v>136</v>
      </c>
      <c r="O328" s="86"/>
      <c r="P328" s="89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  <c r="BZ328" s="90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90"/>
      <c r="CM328" s="90"/>
      <c r="CN328" s="90"/>
      <c r="CO328" s="90"/>
      <c r="CP328" s="90"/>
      <c r="CQ328" s="90"/>
      <c r="CR328" s="90"/>
      <c r="CS328" s="90"/>
      <c r="CT328" s="90"/>
      <c r="CU328" s="90"/>
      <c r="CV328" s="90"/>
      <c r="CW328" s="90"/>
      <c r="CX328" s="90"/>
      <c r="CY328" s="90"/>
      <c r="CZ328" s="90"/>
      <c r="DA328" s="90"/>
      <c r="DB328" s="90"/>
      <c r="DC328" s="90"/>
      <c r="DD328" s="90"/>
      <c r="DE328" s="90"/>
      <c r="DF328" s="90"/>
      <c r="DG328" s="90"/>
      <c r="DH328" s="90"/>
      <c r="DI328" s="90"/>
      <c r="DJ328" s="90"/>
      <c r="DK328" s="90"/>
      <c r="DL328" s="90"/>
      <c r="DM328" s="90"/>
      <c r="DN328" s="90"/>
      <c r="DO328" s="90"/>
      <c r="DP328" s="90"/>
      <c r="DQ328" s="90"/>
      <c r="DR328" s="90"/>
      <c r="DS328" s="90"/>
      <c r="DT328" s="90"/>
      <c r="DU328" s="90"/>
      <c r="DV328" s="90"/>
      <c r="DW328" s="90"/>
      <c r="DX328" s="90"/>
      <c r="DY328" s="90"/>
      <c r="DZ328" s="90"/>
      <c r="EA328" s="90"/>
      <c r="EB328" s="90"/>
      <c r="EC328" s="90"/>
      <c r="ED328" s="90"/>
      <c r="EE328" s="90"/>
      <c r="EF328" s="90"/>
      <c r="EG328" s="90"/>
      <c r="EH328" s="90"/>
      <c r="EI328" s="90"/>
      <c r="EJ328" s="90"/>
      <c r="EK328" s="90"/>
      <c r="EL328" s="90"/>
      <c r="EM328" s="90"/>
      <c r="EN328" s="90"/>
      <c r="EO328" s="90"/>
      <c r="EP328" s="90"/>
      <c r="EQ328" s="90"/>
      <c r="ER328" s="90"/>
    </row>
    <row r="329" spans="2:148" s="84" customFormat="1" ht="24.75" customHeight="1">
      <c r="B329" s="85"/>
      <c r="C329" s="86"/>
      <c r="D329" s="86"/>
      <c r="E329" s="86"/>
      <c r="F329" s="86"/>
      <c r="G329" s="86"/>
      <c r="H329" s="86"/>
      <c r="I329" s="86"/>
      <c r="J329" s="88"/>
      <c r="K329" s="88"/>
      <c r="L329" s="86"/>
      <c r="M329" s="88"/>
      <c r="N329" s="88"/>
      <c r="O329" s="86"/>
      <c r="P329" s="89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90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0"/>
      <c r="CX329" s="90"/>
      <c r="CY329" s="90"/>
      <c r="CZ329" s="90"/>
      <c r="DA329" s="90"/>
      <c r="DB329" s="90"/>
      <c r="DC329" s="90"/>
      <c r="DD329" s="90"/>
      <c r="DE329" s="90"/>
      <c r="DF329" s="90"/>
      <c r="DG329" s="90"/>
      <c r="DH329" s="90"/>
      <c r="DI329" s="90"/>
      <c r="DJ329" s="90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0"/>
      <c r="DV329" s="90"/>
      <c r="DW329" s="90"/>
      <c r="DX329" s="90"/>
      <c r="DY329" s="90"/>
      <c r="DZ329" s="90"/>
      <c r="EA329" s="90"/>
      <c r="EB329" s="90"/>
      <c r="EC329" s="90"/>
      <c r="ED329" s="90"/>
      <c r="EE329" s="90"/>
      <c r="EF329" s="90"/>
      <c r="EG329" s="90"/>
      <c r="EH329" s="90"/>
      <c r="EI329" s="90"/>
      <c r="EJ329" s="90"/>
      <c r="EK329" s="90"/>
      <c r="EL329" s="90"/>
      <c r="EM329" s="90"/>
      <c r="EN329" s="90"/>
      <c r="EO329" s="90"/>
      <c r="EP329" s="90"/>
      <c r="EQ329" s="90"/>
      <c r="ER329" s="90"/>
    </row>
    <row r="330" spans="2:148" s="84" customFormat="1" ht="17.25" customHeight="1">
      <c r="B330" s="85"/>
      <c r="C330" s="100" t="s">
        <v>137</v>
      </c>
      <c r="D330" s="101"/>
      <c r="E330" s="102"/>
      <c r="F330" s="103" t="s">
        <v>138</v>
      </c>
      <c r="G330" s="102"/>
      <c r="H330" s="102"/>
      <c r="I330" s="104"/>
      <c r="J330" s="222" t="s">
        <v>139</v>
      </c>
      <c r="K330" s="223"/>
      <c r="L330" s="105" t="s">
        <v>140</v>
      </c>
      <c r="M330" s="105" t="s">
        <v>141</v>
      </c>
      <c r="N330" s="105" t="s">
        <v>142</v>
      </c>
      <c r="O330" s="86"/>
      <c r="P330" s="89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90"/>
      <c r="CB330" s="90"/>
      <c r="CC330" s="90"/>
      <c r="CD330" s="90"/>
      <c r="CE330" s="90"/>
      <c r="CF330" s="90"/>
      <c r="CG330" s="90"/>
      <c r="CH330" s="90"/>
      <c r="CI330" s="90"/>
      <c r="CJ330" s="90"/>
      <c r="CK330" s="90"/>
      <c r="CL330" s="90"/>
      <c r="CM330" s="90"/>
      <c r="CN330" s="90"/>
      <c r="CO330" s="90"/>
      <c r="CP330" s="90"/>
      <c r="CQ330" s="90"/>
      <c r="CR330" s="90"/>
      <c r="CS330" s="90"/>
      <c r="CT330" s="90"/>
      <c r="CU330" s="90"/>
      <c r="CV330" s="90"/>
      <c r="CW330" s="90"/>
      <c r="CX330" s="90"/>
      <c r="CY330" s="90"/>
      <c r="CZ330" s="90"/>
      <c r="DA330" s="90"/>
      <c r="DB330" s="90"/>
      <c r="DC330" s="90"/>
      <c r="DD330" s="90"/>
      <c r="DE330" s="90"/>
      <c r="DF330" s="90"/>
      <c r="DG330" s="90"/>
      <c r="DH330" s="90"/>
      <c r="DI330" s="90"/>
      <c r="DJ330" s="90"/>
      <c r="DK330" s="90"/>
      <c r="DL330" s="90"/>
      <c r="DM330" s="90"/>
      <c r="DN330" s="90"/>
      <c r="DO330" s="90"/>
      <c r="DP330" s="90"/>
      <c r="DQ330" s="90"/>
      <c r="DR330" s="90"/>
      <c r="DS330" s="90"/>
      <c r="DT330" s="90"/>
      <c r="DU330" s="90"/>
      <c r="DV330" s="90"/>
      <c r="DW330" s="90"/>
      <c r="DX330" s="90"/>
      <c r="DY330" s="90"/>
      <c r="DZ330" s="90"/>
      <c r="EA330" s="90"/>
      <c r="EB330" s="90"/>
      <c r="EC330" s="90"/>
      <c r="ED330" s="90"/>
      <c r="EE330" s="90"/>
      <c r="EF330" s="90"/>
      <c r="EG330" s="90"/>
      <c r="EH330" s="90"/>
      <c r="EI330" s="90"/>
      <c r="EJ330" s="90"/>
      <c r="EK330" s="90"/>
      <c r="EL330" s="90"/>
      <c r="EM330" s="90"/>
      <c r="EN330" s="90"/>
      <c r="EO330" s="90"/>
      <c r="EP330" s="90"/>
      <c r="EQ330" s="90"/>
      <c r="ER330" s="90"/>
    </row>
    <row r="331" spans="2:148" s="84" customFormat="1" ht="24.75" customHeight="1">
      <c r="B331" s="85"/>
      <c r="C331" s="106" t="s">
        <v>143</v>
      </c>
      <c r="D331" s="107"/>
      <c r="E331" s="108"/>
      <c r="F331" s="108"/>
      <c r="G331" s="108"/>
      <c r="H331" s="108"/>
      <c r="I331" s="107"/>
      <c r="J331" s="109"/>
      <c r="K331" s="107"/>
      <c r="L331" s="110"/>
      <c r="M331" s="110"/>
      <c r="N331" s="110"/>
      <c r="O331" s="86"/>
      <c r="P331" s="89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90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0"/>
      <c r="CX331" s="90"/>
      <c r="CY331" s="90"/>
      <c r="CZ331" s="90"/>
      <c r="DA331" s="90"/>
      <c r="DB331" s="90"/>
      <c r="DC331" s="90"/>
      <c r="DD331" s="90"/>
      <c r="DE331" s="90"/>
      <c r="DF331" s="90"/>
      <c r="DG331" s="90"/>
      <c r="DH331" s="90"/>
      <c r="DI331" s="90"/>
      <c r="DJ331" s="90"/>
      <c r="DK331" s="90"/>
      <c r="DL331" s="90"/>
      <c r="DM331" s="90"/>
      <c r="DN331" s="90"/>
      <c r="DO331" s="90"/>
      <c r="DP331" s="90"/>
      <c r="DQ331" s="90"/>
      <c r="DR331" s="90"/>
      <c r="DS331" s="90"/>
      <c r="DT331" s="90"/>
      <c r="DU331" s="90"/>
      <c r="DV331" s="90"/>
      <c r="DW331" s="90"/>
      <c r="DX331" s="90"/>
      <c r="DY331" s="90"/>
      <c r="DZ331" s="90"/>
      <c r="EA331" s="90"/>
      <c r="EB331" s="90"/>
      <c r="EC331" s="90"/>
      <c r="ED331" s="90"/>
      <c r="EE331" s="90"/>
      <c r="EF331" s="90"/>
      <c r="EG331" s="90"/>
      <c r="EH331" s="90"/>
      <c r="EI331" s="90"/>
      <c r="EJ331" s="90"/>
      <c r="EK331" s="90"/>
      <c r="EL331" s="90"/>
      <c r="EM331" s="90"/>
      <c r="EN331" s="90"/>
      <c r="EO331" s="90"/>
      <c r="EP331" s="90"/>
      <c r="EQ331" s="90"/>
      <c r="ER331" s="90"/>
    </row>
    <row r="332" spans="2:148" s="84" customFormat="1" ht="24.75" customHeight="1">
      <c r="B332" s="85"/>
      <c r="C332" s="106" t="s">
        <v>144</v>
      </c>
      <c r="D332" s="107"/>
      <c r="E332" s="108"/>
      <c r="F332" s="108"/>
      <c r="G332" s="108"/>
      <c r="H332" s="108"/>
      <c r="I332" s="107"/>
      <c r="J332" s="109"/>
      <c r="K332" s="107"/>
      <c r="L332" s="110"/>
      <c r="M332" s="110"/>
      <c r="N332" s="110"/>
      <c r="O332" s="86"/>
      <c r="P332" s="89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90"/>
      <c r="CM332" s="90"/>
      <c r="CN332" s="90"/>
      <c r="CO332" s="90"/>
      <c r="CP332" s="90"/>
      <c r="CQ332" s="90"/>
      <c r="CR332" s="90"/>
      <c r="CS332" s="90"/>
      <c r="CT332" s="90"/>
      <c r="CU332" s="90"/>
      <c r="CV332" s="90"/>
      <c r="CW332" s="90"/>
      <c r="CX332" s="90"/>
      <c r="CY332" s="90"/>
      <c r="CZ332" s="90"/>
      <c r="DA332" s="90"/>
      <c r="DB332" s="90"/>
      <c r="DC332" s="90"/>
      <c r="DD332" s="90"/>
      <c r="DE332" s="90"/>
      <c r="DF332" s="90"/>
      <c r="DG332" s="90"/>
      <c r="DH332" s="90"/>
      <c r="DI332" s="90"/>
      <c r="DJ332" s="90"/>
      <c r="DK332" s="90"/>
      <c r="DL332" s="90"/>
      <c r="DM332" s="90"/>
      <c r="DN332" s="90"/>
      <c r="DO332" s="90"/>
      <c r="DP332" s="90"/>
      <c r="DQ332" s="90"/>
      <c r="DR332" s="90"/>
      <c r="DS332" s="90"/>
      <c r="DT332" s="90"/>
      <c r="DU332" s="90"/>
      <c r="DV332" s="90"/>
      <c r="DW332" s="90"/>
      <c r="DX332" s="90"/>
      <c r="DY332" s="90"/>
      <c r="DZ332" s="90"/>
      <c r="EA332" s="90"/>
      <c r="EB332" s="90"/>
      <c r="EC332" s="90"/>
      <c r="ED332" s="90"/>
      <c r="EE332" s="90"/>
      <c r="EF332" s="90"/>
      <c r="EG332" s="90"/>
      <c r="EH332" s="90"/>
      <c r="EI332" s="90"/>
      <c r="EJ332" s="90"/>
      <c r="EK332" s="90"/>
      <c r="EL332" s="90"/>
      <c r="EM332" s="90"/>
      <c r="EN332" s="90"/>
      <c r="EO332" s="90"/>
      <c r="EP332" s="90"/>
      <c r="EQ332" s="90"/>
      <c r="ER332" s="90"/>
    </row>
    <row r="333" spans="2:148" s="84" customFormat="1" ht="24.75" customHeight="1">
      <c r="B333" s="85"/>
      <c r="C333" s="111" t="s">
        <v>145</v>
      </c>
      <c r="D333" s="112"/>
      <c r="E333" s="113"/>
      <c r="F333" s="113"/>
      <c r="G333" s="113"/>
      <c r="H333" s="113"/>
      <c r="I333" s="112"/>
      <c r="J333" s="114"/>
      <c r="K333" s="112"/>
      <c r="L333" s="110"/>
      <c r="M333" s="110"/>
      <c r="N333" s="110"/>
      <c r="O333" s="86"/>
      <c r="P333" s="89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90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0"/>
      <c r="CX333" s="90"/>
      <c r="CY333" s="90"/>
      <c r="CZ333" s="90"/>
      <c r="DA333" s="90"/>
      <c r="DB333" s="90"/>
      <c r="DC333" s="90"/>
      <c r="DD333" s="90"/>
      <c r="DE333" s="90"/>
      <c r="DF333" s="90"/>
      <c r="DG333" s="90"/>
      <c r="DH333" s="90"/>
      <c r="DI333" s="90"/>
      <c r="DJ333" s="90"/>
      <c r="DK333" s="90"/>
      <c r="DL333" s="90"/>
      <c r="DM333" s="90"/>
      <c r="DN333" s="90"/>
      <c r="DO333" s="90"/>
      <c r="DP333" s="90"/>
      <c r="DQ333" s="90"/>
      <c r="DR333" s="90"/>
      <c r="DS333" s="90"/>
      <c r="DT333" s="90"/>
      <c r="DU333" s="90"/>
      <c r="DV333" s="90"/>
      <c r="DW333" s="90"/>
      <c r="DX333" s="90"/>
      <c r="DY333" s="90"/>
      <c r="DZ333" s="90"/>
      <c r="EA333" s="90"/>
      <c r="EB333" s="90"/>
      <c r="EC333" s="90"/>
      <c r="ED333" s="90"/>
      <c r="EE333" s="90"/>
      <c r="EF333" s="90"/>
      <c r="EG333" s="90"/>
      <c r="EH333" s="90"/>
      <c r="EI333" s="90"/>
      <c r="EJ333" s="90"/>
      <c r="EK333" s="90"/>
      <c r="EL333" s="90"/>
      <c r="EM333" s="90"/>
      <c r="EN333" s="90"/>
      <c r="EO333" s="90"/>
      <c r="EP333" s="90"/>
      <c r="EQ333" s="90"/>
      <c r="ER333" s="90"/>
    </row>
    <row r="334" spans="2:16" ht="12" customHeight="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7"/>
    </row>
    <row r="335" spans="2:16" ht="3.75" customHeight="1">
      <c r="B335" s="61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3"/>
    </row>
    <row r="336" spans="2:16" ht="27.75" customHeight="1">
      <c r="B336" s="64"/>
      <c r="C336" s="65"/>
      <c r="D336" s="65"/>
      <c r="E336" s="65"/>
      <c r="F336" s="65"/>
      <c r="G336" s="66"/>
      <c r="H336" s="65"/>
      <c r="I336" s="65"/>
      <c r="J336" s="65"/>
      <c r="K336" s="65"/>
      <c r="L336" s="65"/>
      <c r="M336" s="134" t="s">
        <v>122</v>
      </c>
      <c r="N336" s="238"/>
      <c r="O336" s="239"/>
      <c r="P336" s="67"/>
    </row>
    <row r="337" spans="2:148" s="68" customFormat="1" ht="34.5" customHeight="1">
      <c r="B337" s="69"/>
      <c r="C337" s="232">
        <f>IF(M3="","",IF(INDEX(участники!$A$102:$M$963,$M$3+16-100,13)="","",INDEX(участники!$A$102:$M$963,$M$3+16-100,13)))</f>
      </c>
      <c r="D337" s="233"/>
      <c r="E337" s="70"/>
      <c r="F337" s="234"/>
      <c r="G337" s="235"/>
      <c r="H337" s="65"/>
      <c r="I337" s="71"/>
      <c r="J337" s="236">
        <f>IF(M3="","",IF(INDEX(участники!$A$102:$M$963,$M$3+16-100,1)="","",INDEX(участники!$A$102:$M$963,$M$3+16-100,1)))</f>
      </c>
      <c r="K337" s="237"/>
      <c r="L337" s="71"/>
      <c r="M337" s="134" t="s">
        <v>123</v>
      </c>
      <c r="N337" s="130" t="str">
        <f>IF(M3="","",CONCATENATE(IF(INDEX(участники!$A$102:$M$963,$M$3+16-100,3)="","",INDEX(участники!$A$102:$M$963,$M$3+16-100,3)),"  ",IF(INDEX(участники!$A$102:$M$963,$M$3+16-100,3)="","",INDEX(участники!$A$104:$M$963,$M$3+16-100,3))))</f>
        <v>  </v>
      </c>
      <c r="O337" s="72"/>
      <c r="P337" s="73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  <c r="BT337" s="74"/>
      <c r="BU337" s="74"/>
      <c r="BV337" s="74"/>
      <c r="BW337" s="74"/>
      <c r="BX337" s="74"/>
      <c r="BY337" s="74"/>
      <c r="BZ337" s="74"/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</row>
    <row r="338" spans="2:148" s="75" customFormat="1" ht="15.75" customHeight="1">
      <c r="B338" s="76"/>
      <c r="C338" s="224" t="s">
        <v>124</v>
      </c>
      <c r="D338" s="224"/>
      <c r="E338" s="77"/>
      <c r="F338" s="225" t="s">
        <v>125</v>
      </c>
      <c r="G338" s="225"/>
      <c r="H338" s="78"/>
      <c r="I338" s="77"/>
      <c r="J338" s="224" t="s">
        <v>126</v>
      </c>
      <c r="K338" s="224"/>
      <c r="L338" s="79"/>
      <c r="M338" s="79"/>
      <c r="N338" s="79"/>
      <c r="O338" s="79"/>
      <c r="P338" s="80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  <c r="EK338" s="81"/>
      <c r="EL338" s="81"/>
      <c r="EM338" s="81"/>
      <c r="EN338" s="81"/>
      <c r="EO338" s="81"/>
      <c r="EP338" s="81"/>
      <c r="EQ338" s="81"/>
      <c r="ER338" s="81"/>
    </row>
    <row r="339" spans="2:16" ht="40.5" customHeight="1">
      <c r="B339" s="64"/>
      <c r="C339" s="226">
        <f>IF(M3="","",IF(INDEX(участники!$A$102:$M$962,$M$3+16-100,2)="","",INDEX(участники!$A$102:$M$962,$M$3+16-100,2)))</f>
      </c>
      <c r="D339" s="226"/>
      <c r="E339" s="226"/>
      <c r="F339" s="226"/>
      <c r="G339" s="226"/>
      <c r="H339" s="226"/>
      <c r="I339" s="82"/>
      <c r="J339" s="227">
        <f>IF(M3="","",IF(INDEX(участники!$A$102:$M$962,$M$3+16-100,4)="","",INDEX(участники!$A$102:$M$962,$M$3+16-100,4)))</f>
      </c>
      <c r="K339" s="227"/>
      <c r="L339" s="83"/>
      <c r="M339" s="131">
        <f>IF(M3="","",IF(INDEX(участники!$A$102:$M$962,$M$3+16-100,5)="","",INDEX(участники!$A$102:$M$962,$M$3+16-100,5)))</f>
      </c>
      <c r="N339" s="65"/>
      <c r="O339" s="65"/>
      <c r="P339" s="67"/>
    </row>
    <row r="340" spans="2:148" s="84" customFormat="1" ht="12.75" customHeight="1">
      <c r="B340" s="85"/>
      <c r="C340" s="86" t="s">
        <v>127</v>
      </c>
      <c r="D340" s="86"/>
      <c r="E340" s="86"/>
      <c r="F340" s="86"/>
      <c r="G340" s="86"/>
      <c r="H340" s="86"/>
      <c r="I340" s="86"/>
      <c r="J340" s="228" t="s">
        <v>128</v>
      </c>
      <c r="K340" s="228"/>
      <c r="L340" s="86"/>
      <c r="M340" s="88" t="s">
        <v>129</v>
      </c>
      <c r="N340" s="86"/>
      <c r="O340" s="86"/>
      <c r="P340" s="89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90"/>
      <c r="CM340" s="90"/>
      <c r="CN340" s="90"/>
      <c r="CO340" s="90"/>
      <c r="CP340" s="90"/>
      <c r="CQ340" s="90"/>
      <c r="CR340" s="90"/>
      <c r="CS340" s="90"/>
      <c r="CT340" s="90"/>
      <c r="CU340" s="90"/>
      <c r="CV340" s="90"/>
      <c r="CW340" s="90"/>
      <c r="CX340" s="90"/>
      <c r="CY340" s="90"/>
      <c r="CZ340" s="90"/>
      <c r="DA340" s="90"/>
      <c r="DB340" s="90"/>
      <c r="DC340" s="90"/>
      <c r="DD340" s="90"/>
      <c r="DE340" s="90"/>
      <c r="DF340" s="90"/>
      <c r="DG340" s="90"/>
      <c r="DH340" s="90"/>
      <c r="DI340" s="90"/>
      <c r="DJ340" s="90"/>
      <c r="DK340" s="90"/>
      <c r="DL340" s="90"/>
      <c r="DM340" s="90"/>
      <c r="DN340" s="90"/>
      <c r="DO340" s="90"/>
      <c r="DP340" s="90"/>
      <c r="DQ340" s="90"/>
      <c r="DR340" s="90"/>
      <c r="DS340" s="90"/>
      <c r="DT340" s="90"/>
      <c r="DU340" s="90"/>
      <c r="DV340" s="90"/>
      <c r="DW340" s="90"/>
      <c r="DX340" s="90"/>
      <c r="DY340" s="90"/>
      <c r="DZ340" s="90"/>
      <c r="EA340" s="90"/>
      <c r="EB340" s="90"/>
      <c r="EC340" s="90"/>
      <c r="ED340" s="90"/>
      <c r="EE340" s="90"/>
      <c r="EF340" s="90"/>
      <c r="EG340" s="90"/>
      <c r="EH340" s="90"/>
      <c r="EI340" s="90"/>
      <c r="EJ340" s="90"/>
      <c r="EK340" s="90"/>
      <c r="EL340" s="90"/>
      <c r="EM340" s="90"/>
      <c r="EN340" s="90"/>
      <c r="EO340" s="90"/>
      <c r="EP340" s="90"/>
      <c r="EQ340" s="90"/>
      <c r="ER340" s="90"/>
    </row>
    <row r="341" spans="2:148" s="91" customFormat="1" ht="35.25" customHeight="1">
      <c r="B341" s="92"/>
      <c r="C341" s="229">
        <f>IF(M3="","",IF(INDEX(участники!$A$102:$M$962,$M$3+16-100,6)="","",INDEX(участники!$A$102:$M$962,$M$3+16-100,6)))</f>
      </c>
      <c r="D341" s="220"/>
      <c r="E341" s="220"/>
      <c r="F341" s="220"/>
      <c r="G341" s="93"/>
      <c r="H341" s="216">
        <f>IF(M3="","",IF(INDEX(участники!$A$102:$M$962,$M$3+16-100,8)="","",INDEX(участники!$A$102:$M$962,$M$3+16-100,8)))</f>
      </c>
      <c r="I341" s="216"/>
      <c r="J341" s="216"/>
      <c r="K341" s="94"/>
      <c r="L341" s="221"/>
      <c r="M341" s="221"/>
      <c r="N341" s="221"/>
      <c r="O341" s="94"/>
      <c r="P341" s="95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6"/>
      <c r="BP341" s="96"/>
      <c r="BQ341" s="96"/>
      <c r="BR341" s="96"/>
      <c r="BS341" s="96"/>
      <c r="BT341" s="96"/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96"/>
      <c r="CK341" s="96"/>
      <c r="CL341" s="96"/>
      <c r="CM341" s="96"/>
      <c r="CN341" s="96"/>
      <c r="CO341" s="96"/>
      <c r="CP341" s="96"/>
      <c r="CQ341" s="96"/>
      <c r="CR341" s="96"/>
      <c r="CS341" s="96"/>
      <c r="CT341" s="96"/>
      <c r="CU341" s="96"/>
      <c r="CV341" s="96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96"/>
      <c r="EF341" s="96"/>
      <c r="EG341" s="96"/>
      <c r="EH341" s="96"/>
      <c r="EI341" s="96"/>
      <c r="EJ341" s="96"/>
      <c r="EK341" s="96"/>
      <c r="EL341" s="96"/>
      <c r="EM341" s="96"/>
      <c r="EN341" s="96"/>
      <c r="EO341" s="96"/>
      <c r="EP341" s="96"/>
      <c r="EQ341" s="96"/>
      <c r="ER341" s="96"/>
    </row>
    <row r="342" spans="2:148" s="84" customFormat="1" ht="11.25" customHeight="1">
      <c r="B342" s="85"/>
      <c r="C342" s="86" t="s">
        <v>130</v>
      </c>
      <c r="D342" s="86"/>
      <c r="E342" s="86"/>
      <c r="F342" s="86"/>
      <c r="G342" s="97"/>
      <c r="H342" s="217" t="s">
        <v>131</v>
      </c>
      <c r="I342" s="217"/>
      <c r="J342" s="217"/>
      <c r="K342" s="86"/>
      <c r="L342" s="218"/>
      <c r="M342" s="218"/>
      <c r="N342" s="218"/>
      <c r="O342" s="86"/>
      <c r="P342" s="89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90"/>
      <c r="CM342" s="90"/>
      <c r="CN342" s="90"/>
      <c r="CO342" s="90"/>
      <c r="CP342" s="90"/>
      <c r="CQ342" s="90"/>
      <c r="CR342" s="90"/>
      <c r="CS342" s="90"/>
      <c r="CT342" s="90"/>
      <c r="CU342" s="90"/>
      <c r="CV342" s="90"/>
      <c r="CW342" s="90"/>
      <c r="CX342" s="90"/>
      <c r="CY342" s="90"/>
      <c r="CZ342" s="90"/>
      <c r="DA342" s="90"/>
      <c r="DB342" s="90"/>
      <c r="DC342" s="90"/>
      <c r="DD342" s="90"/>
      <c r="DE342" s="90"/>
      <c r="DF342" s="90"/>
      <c r="DG342" s="90"/>
      <c r="DH342" s="90"/>
      <c r="DI342" s="90"/>
      <c r="DJ342" s="90"/>
      <c r="DK342" s="90"/>
      <c r="DL342" s="90"/>
      <c r="DM342" s="90"/>
      <c r="DN342" s="90"/>
      <c r="DO342" s="90"/>
      <c r="DP342" s="90"/>
      <c r="DQ342" s="90"/>
      <c r="DR342" s="90"/>
      <c r="DS342" s="90"/>
      <c r="DT342" s="90"/>
      <c r="DU342" s="90"/>
      <c r="DV342" s="90"/>
      <c r="DW342" s="90"/>
      <c r="DX342" s="90"/>
      <c r="DY342" s="90"/>
      <c r="DZ342" s="90"/>
      <c r="EA342" s="90"/>
      <c r="EB342" s="90"/>
      <c r="EC342" s="90"/>
      <c r="ED342" s="90"/>
      <c r="EE342" s="90"/>
      <c r="EF342" s="90"/>
      <c r="EG342" s="90"/>
      <c r="EH342" s="90"/>
      <c r="EI342" s="90"/>
      <c r="EJ342" s="90"/>
      <c r="EK342" s="90"/>
      <c r="EL342" s="90"/>
      <c r="EM342" s="90"/>
      <c r="EN342" s="90"/>
      <c r="EO342" s="90"/>
      <c r="EP342" s="90"/>
      <c r="EQ342" s="90"/>
      <c r="ER342" s="90"/>
    </row>
    <row r="343" spans="2:148" s="91" customFormat="1" ht="24" customHeight="1">
      <c r="B343" s="92"/>
      <c r="C343" s="219">
        <f>IF(M3="","",IF(INDEX(участники!$A$102:$M$962,$M$3+16-100,7)="","",INDEX(участники!$A$102:$M$962,$M$3+16-100,7)))</f>
      </c>
      <c r="D343" s="220"/>
      <c r="E343" s="220"/>
      <c r="F343" s="220"/>
      <c r="G343" s="93"/>
      <c r="H343" s="216">
        <f>IF(M3="","",IF(INDEX(участники!$A$102:$M$962,$M$3+16-100,9)="","",INDEX(участники!$A$102:$M$962,$M$3+16-100,9)))</f>
      </c>
      <c r="I343" s="216"/>
      <c r="J343" s="216"/>
      <c r="K343" s="216"/>
      <c r="L343" s="216"/>
      <c r="M343" s="216"/>
      <c r="N343" s="216"/>
      <c r="O343" s="94"/>
      <c r="P343" s="95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/>
      <c r="AE343" s="96"/>
      <c r="AF343" s="96"/>
      <c r="AG343" s="96"/>
      <c r="AH343" s="96"/>
      <c r="AI343" s="96"/>
      <c r="AJ343" s="96"/>
      <c r="AK343" s="96"/>
      <c r="AL343" s="96"/>
      <c r="AM343" s="96"/>
      <c r="AN343" s="96"/>
      <c r="AO343" s="96"/>
      <c r="AP343" s="96"/>
      <c r="AQ343" s="96"/>
      <c r="AR343" s="96"/>
      <c r="AS343" s="96"/>
      <c r="AT343" s="96"/>
      <c r="AU343" s="96"/>
      <c r="AV343" s="96"/>
      <c r="AW343" s="96"/>
      <c r="AX343" s="96"/>
      <c r="AY343" s="96"/>
      <c r="AZ343" s="96"/>
      <c r="BA343" s="96"/>
      <c r="BB343" s="96"/>
      <c r="BC343" s="96"/>
      <c r="BD343" s="96"/>
      <c r="BE343" s="96"/>
      <c r="BF343" s="96"/>
      <c r="BG343" s="96"/>
      <c r="BH343" s="96"/>
      <c r="BI343" s="96"/>
      <c r="BJ343" s="96"/>
      <c r="BK343" s="96"/>
      <c r="BL343" s="96"/>
      <c r="BM343" s="96"/>
      <c r="BN343" s="96"/>
      <c r="BO343" s="96"/>
      <c r="BP343" s="96"/>
      <c r="BQ343" s="96"/>
      <c r="BR343" s="96"/>
      <c r="BS343" s="96"/>
      <c r="BT343" s="96"/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96"/>
      <c r="CK343" s="96"/>
      <c r="CL343" s="96"/>
      <c r="CM343" s="96"/>
      <c r="CN343" s="96"/>
      <c r="CO343" s="96"/>
      <c r="CP343" s="96"/>
      <c r="CQ343" s="96"/>
      <c r="CR343" s="96"/>
      <c r="CS343" s="96"/>
      <c r="CT343" s="96"/>
      <c r="CU343" s="96"/>
      <c r="CV343" s="96"/>
      <c r="CW343" s="96"/>
      <c r="CX343" s="96"/>
      <c r="CY343" s="96"/>
      <c r="CZ343" s="96"/>
      <c r="DA343" s="96"/>
      <c r="DB343" s="96"/>
      <c r="DC343" s="96"/>
      <c r="DD343" s="96"/>
      <c r="DE343" s="96"/>
      <c r="DF343" s="96"/>
      <c r="DG343" s="96"/>
      <c r="DH343" s="96"/>
      <c r="DI343" s="96"/>
      <c r="DJ343" s="96"/>
      <c r="DK343" s="96"/>
      <c r="DL343" s="96"/>
      <c r="DM343" s="96"/>
      <c r="DN343" s="96"/>
      <c r="DO343" s="96"/>
      <c r="DP343" s="96"/>
      <c r="DQ343" s="96"/>
      <c r="DR343" s="96"/>
      <c r="DS343" s="96"/>
      <c r="DT343" s="96"/>
      <c r="DU343" s="96"/>
      <c r="DV343" s="96"/>
      <c r="DW343" s="96"/>
      <c r="DX343" s="96"/>
      <c r="DY343" s="96"/>
      <c r="DZ343" s="96"/>
      <c r="EA343" s="96"/>
      <c r="EB343" s="96"/>
      <c r="EC343" s="96"/>
      <c r="ED343" s="96"/>
      <c r="EE343" s="96"/>
      <c r="EF343" s="96"/>
      <c r="EG343" s="96"/>
      <c r="EH343" s="96"/>
      <c r="EI343" s="96"/>
      <c r="EJ343" s="96"/>
      <c r="EK343" s="96"/>
      <c r="EL343" s="96"/>
      <c r="EM343" s="96"/>
      <c r="EN343" s="96"/>
      <c r="EO343" s="96"/>
      <c r="EP343" s="96"/>
      <c r="EQ343" s="96"/>
      <c r="ER343" s="96"/>
    </row>
    <row r="344" spans="2:148" s="84" customFormat="1" ht="9.75" customHeight="1">
      <c r="B344" s="85"/>
      <c r="C344" s="86" t="s">
        <v>132</v>
      </c>
      <c r="D344" s="86"/>
      <c r="E344" s="86"/>
      <c r="F344" s="86"/>
      <c r="G344" s="86"/>
      <c r="H344" s="217" t="s">
        <v>133</v>
      </c>
      <c r="I344" s="217"/>
      <c r="J344" s="217"/>
      <c r="K344" s="217"/>
      <c r="L344" s="217"/>
      <c r="M344" s="217"/>
      <c r="N344" s="86"/>
      <c r="O344" s="86"/>
      <c r="P344" s="89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  <c r="CM344" s="90"/>
      <c r="CN344" s="90"/>
      <c r="CO344" s="90"/>
      <c r="CP344" s="90"/>
      <c r="CQ344" s="90"/>
      <c r="CR344" s="90"/>
      <c r="CS344" s="90"/>
      <c r="CT344" s="90"/>
      <c r="CU344" s="90"/>
      <c r="CV344" s="90"/>
      <c r="CW344" s="90"/>
      <c r="CX344" s="90"/>
      <c r="CY344" s="90"/>
      <c r="CZ344" s="90"/>
      <c r="DA344" s="90"/>
      <c r="DB344" s="90"/>
      <c r="DC344" s="90"/>
      <c r="DD344" s="90"/>
      <c r="DE344" s="90"/>
      <c r="DF344" s="90"/>
      <c r="DG344" s="90"/>
      <c r="DH344" s="90"/>
      <c r="DI344" s="90"/>
      <c r="DJ344" s="90"/>
      <c r="DK344" s="90"/>
      <c r="DL344" s="90"/>
      <c r="DM344" s="90"/>
      <c r="DN344" s="90"/>
      <c r="DO344" s="90"/>
      <c r="DP344" s="90"/>
      <c r="DQ344" s="90"/>
      <c r="DR344" s="90"/>
      <c r="DS344" s="90"/>
      <c r="DT344" s="90"/>
      <c r="DU344" s="90"/>
      <c r="DV344" s="90"/>
      <c r="DW344" s="90"/>
      <c r="DX344" s="90"/>
      <c r="DY344" s="90"/>
      <c r="DZ344" s="90"/>
      <c r="EA344" s="90"/>
      <c r="EB344" s="90"/>
      <c r="EC344" s="90"/>
      <c r="ED344" s="90"/>
      <c r="EE344" s="90"/>
      <c r="EF344" s="90"/>
      <c r="EG344" s="90"/>
      <c r="EH344" s="90"/>
      <c r="EI344" s="90"/>
      <c r="EJ344" s="90"/>
      <c r="EK344" s="90"/>
      <c r="EL344" s="90"/>
      <c r="EM344" s="90"/>
      <c r="EN344" s="90"/>
      <c r="EO344" s="90"/>
      <c r="EP344" s="90"/>
      <c r="EQ344" s="90"/>
      <c r="ER344" s="90"/>
    </row>
    <row r="345" spans="2:148" s="84" customFormat="1" ht="9.75" customHeight="1">
      <c r="B345" s="85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9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0"/>
      <c r="CU345" s="90"/>
      <c r="CV345" s="90"/>
      <c r="CW345" s="90"/>
      <c r="CX345" s="90"/>
      <c r="CY345" s="90"/>
      <c r="CZ345" s="90"/>
      <c r="DA345" s="90"/>
      <c r="DB345" s="90"/>
      <c r="DC345" s="90"/>
      <c r="DD345" s="90"/>
      <c r="DE345" s="90"/>
      <c r="DF345" s="90"/>
      <c r="DG345" s="90"/>
      <c r="DH345" s="90"/>
      <c r="DI345" s="90"/>
      <c r="DJ345" s="90"/>
      <c r="DK345" s="90"/>
      <c r="DL345" s="90"/>
      <c r="DM345" s="90"/>
      <c r="DN345" s="90"/>
      <c r="DO345" s="90"/>
      <c r="DP345" s="90"/>
      <c r="DQ345" s="90"/>
      <c r="DR345" s="90"/>
      <c r="DS345" s="90"/>
      <c r="DT345" s="90"/>
      <c r="DU345" s="90"/>
      <c r="DV345" s="90"/>
      <c r="DW345" s="90"/>
      <c r="DX345" s="90"/>
      <c r="DY345" s="90"/>
      <c r="DZ345" s="90"/>
      <c r="EA345" s="90"/>
      <c r="EB345" s="90"/>
      <c r="EC345" s="90"/>
      <c r="ED345" s="90"/>
      <c r="EE345" s="90"/>
      <c r="EF345" s="90"/>
      <c r="EG345" s="90"/>
      <c r="EH345" s="90"/>
      <c r="EI345" s="90"/>
      <c r="EJ345" s="90"/>
      <c r="EK345" s="90"/>
      <c r="EL345" s="90"/>
      <c r="EM345" s="90"/>
      <c r="EN345" s="90"/>
      <c r="EO345" s="90"/>
      <c r="EP345" s="90"/>
      <c r="EQ345" s="90"/>
      <c r="ER345" s="90"/>
    </row>
    <row r="346" spans="2:16" ht="26.25" customHeight="1">
      <c r="B346" s="64"/>
      <c r="C346" s="214">
        <f>IF(M3="","",IF(INDEX(участники!$A$102:$M$962,$M$3+16-100,10)="","",INDEX(участники!$A$102:$M$962,$M$3+16-100,10)))</f>
      </c>
      <c r="D346" s="215"/>
      <c r="E346" s="215"/>
      <c r="F346" s="215"/>
      <c r="G346" s="215"/>
      <c r="H346" s="215"/>
      <c r="I346" s="215"/>
      <c r="J346" s="215"/>
      <c r="K346" s="65"/>
      <c r="L346" s="132">
        <f>IF(M3="","",IF(INDEX(участники!$A$102:$M$962,$M$3+16-100,11)="","",INDEX(участники!$A$102:$M$962,$M$3+16-100,11)))</f>
      </c>
      <c r="M346" s="98"/>
      <c r="N346" s="132">
        <f>IF(M3="","",IF(INDEX(участники!$A$102:$M$962,$M$3+16-100,12)="","",INDEX(участники!$A$102:$M$962,$M$3+16-100,12)))</f>
      </c>
      <c r="O346" s="65"/>
      <c r="P346" s="67"/>
    </row>
    <row r="347" spans="2:148" s="84" customFormat="1" ht="14.25" customHeight="1">
      <c r="B347" s="85"/>
      <c r="C347" s="86" t="s">
        <v>134</v>
      </c>
      <c r="D347" s="86"/>
      <c r="E347" s="86"/>
      <c r="F347" s="86"/>
      <c r="G347" s="86"/>
      <c r="H347" s="86"/>
      <c r="I347" s="86"/>
      <c r="J347" s="218"/>
      <c r="K347" s="218"/>
      <c r="L347" s="87" t="s">
        <v>135</v>
      </c>
      <c r="M347" s="99"/>
      <c r="N347" s="133" t="s">
        <v>136</v>
      </c>
      <c r="O347" s="86"/>
      <c r="P347" s="89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  <c r="CM347" s="90"/>
      <c r="CN347" s="90"/>
      <c r="CO347" s="90"/>
      <c r="CP347" s="90"/>
      <c r="CQ347" s="90"/>
      <c r="CR347" s="90"/>
      <c r="CS347" s="90"/>
      <c r="CT347" s="90"/>
      <c r="CU347" s="90"/>
      <c r="CV347" s="90"/>
      <c r="CW347" s="90"/>
      <c r="CX347" s="90"/>
      <c r="CY347" s="90"/>
      <c r="CZ347" s="90"/>
      <c r="DA347" s="90"/>
      <c r="DB347" s="90"/>
      <c r="DC347" s="90"/>
      <c r="DD347" s="90"/>
      <c r="DE347" s="90"/>
      <c r="DF347" s="90"/>
      <c r="DG347" s="90"/>
      <c r="DH347" s="90"/>
      <c r="DI347" s="90"/>
      <c r="DJ347" s="90"/>
      <c r="DK347" s="90"/>
      <c r="DL347" s="90"/>
      <c r="DM347" s="90"/>
      <c r="DN347" s="90"/>
      <c r="DO347" s="90"/>
      <c r="DP347" s="90"/>
      <c r="DQ347" s="90"/>
      <c r="DR347" s="90"/>
      <c r="DS347" s="90"/>
      <c r="DT347" s="90"/>
      <c r="DU347" s="90"/>
      <c r="DV347" s="90"/>
      <c r="DW347" s="90"/>
      <c r="DX347" s="90"/>
      <c r="DY347" s="90"/>
      <c r="DZ347" s="90"/>
      <c r="EA347" s="90"/>
      <c r="EB347" s="90"/>
      <c r="EC347" s="90"/>
      <c r="ED347" s="90"/>
      <c r="EE347" s="90"/>
      <c r="EF347" s="90"/>
      <c r="EG347" s="90"/>
      <c r="EH347" s="90"/>
      <c r="EI347" s="90"/>
      <c r="EJ347" s="90"/>
      <c r="EK347" s="90"/>
      <c r="EL347" s="90"/>
      <c r="EM347" s="90"/>
      <c r="EN347" s="90"/>
      <c r="EO347" s="90"/>
      <c r="EP347" s="90"/>
      <c r="EQ347" s="90"/>
      <c r="ER347" s="90"/>
    </row>
    <row r="348" spans="2:148" s="84" customFormat="1" ht="24.75" customHeight="1">
      <c r="B348" s="85"/>
      <c r="C348" s="86"/>
      <c r="D348" s="86"/>
      <c r="E348" s="86"/>
      <c r="F348" s="86"/>
      <c r="G348" s="86"/>
      <c r="H348" s="86"/>
      <c r="I348" s="86"/>
      <c r="J348" s="88"/>
      <c r="K348" s="88"/>
      <c r="L348" s="86"/>
      <c r="M348" s="88"/>
      <c r="N348" s="88"/>
      <c r="O348" s="86"/>
      <c r="P348" s="89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90"/>
      <c r="CM348" s="90"/>
      <c r="CN348" s="90"/>
      <c r="CO348" s="90"/>
      <c r="CP348" s="90"/>
      <c r="CQ348" s="90"/>
      <c r="CR348" s="90"/>
      <c r="CS348" s="90"/>
      <c r="CT348" s="90"/>
      <c r="CU348" s="90"/>
      <c r="CV348" s="90"/>
      <c r="CW348" s="90"/>
      <c r="CX348" s="90"/>
      <c r="CY348" s="90"/>
      <c r="CZ348" s="90"/>
      <c r="DA348" s="90"/>
      <c r="DB348" s="90"/>
      <c r="DC348" s="90"/>
      <c r="DD348" s="90"/>
      <c r="DE348" s="90"/>
      <c r="DF348" s="90"/>
      <c r="DG348" s="90"/>
      <c r="DH348" s="90"/>
      <c r="DI348" s="90"/>
      <c r="DJ348" s="90"/>
      <c r="DK348" s="90"/>
      <c r="DL348" s="90"/>
      <c r="DM348" s="90"/>
      <c r="DN348" s="90"/>
      <c r="DO348" s="90"/>
      <c r="DP348" s="90"/>
      <c r="DQ348" s="90"/>
      <c r="DR348" s="90"/>
      <c r="DS348" s="90"/>
      <c r="DT348" s="90"/>
      <c r="DU348" s="90"/>
      <c r="DV348" s="90"/>
      <c r="DW348" s="90"/>
      <c r="DX348" s="90"/>
      <c r="DY348" s="90"/>
      <c r="DZ348" s="90"/>
      <c r="EA348" s="90"/>
      <c r="EB348" s="90"/>
      <c r="EC348" s="90"/>
      <c r="ED348" s="90"/>
      <c r="EE348" s="90"/>
      <c r="EF348" s="90"/>
      <c r="EG348" s="90"/>
      <c r="EH348" s="90"/>
      <c r="EI348" s="90"/>
      <c r="EJ348" s="90"/>
      <c r="EK348" s="90"/>
      <c r="EL348" s="90"/>
      <c r="EM348" s="90"/>
      <c r="EN348" s="90"/>
      <c r="EO348" s="90"/>
      <c r="EP348" s="90"/>
      <c r="EQ348" s="90"/>
      <c r="ER348" s="90"/>
    </row>
    <row r="349" spans="2:148" s="84" customFormat="1" ht="17.25" customHeight="1">
      <c r="B349" s="85"/>
      <c r="C349" s="100" t="s">
        <v>137</v>
      </c>
      <c r="D349" s="101"/>
      <c r="E349" s="102"/>
      <c r="F349" s="103" t="s">
        <v>138</v>
      </c>
      <c r="G349" s="102"/>
      <c r="H349" s="102"/>
      <c r="I349" s="104"/>
      <c r="J349" s="222" t="s">
        <v>139</v>
      </c>
      <c r="K349" s="223"/>
      <c r="L349" s="105" t="s">
        <v>140</v>
      </c>
      <c r="M349" s="105" t="s">
        <v>141</v>
      </c>
      <c r="N349" s="105" t="s">
        <v>142</v>
      </c>
      <c r="O349" s="86"/>
      <c r="P349" s="89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  <c r="BZ349" s="90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90"/>
      <c r="CM349" s="90"/>
      <c r="CN349" s="90"/>
      <c r="CO349" s="90"/>
      <c r="CP349" s="90"/>
      <c r="CQ349" s="90"/>
      <c r="CR349" s="90"/>
      <c r="CS349" s="90"/>
      <c r="CT349" s="90"/>
      <c r="CU349" s="90"/>
      <c r="CV349" s="90"/>
      <c r="CW349" s="90"/>
      <c r="CX349" s="90"/>
      <c r="CY349" s="90"/>
      <c r="CZ349" s="90"/>
      <c r="DA349" s="90"/>
      <c r="DB349" s="90"/>
      <c r="DC349" s="90"/>
      <c r="DD349" s="90"/>
      <c r="DE349" s="90"/>
      <c r="DF349" s="90"/>
      <c r="DG349" s="90"/>
      <c r="DH349" s="90"/>
      <c r="DI349" s="90"/>
      <c r="DJ349" s="90"/>
      <c r="DK349" s="90"/>
      <c r="DL349" s="90"/>
      <c r="DM349" s="90"/>
      <c r="DN349" s="90"/>
      <c r="DO349" s="90"/>
      <c r="DP349" s="90"/>
      <c r="DQ349" s="90"/>
      <c r="DR349" s="90"/>
      <c r="DS349" s="90"/>
      <c r="DT349" s="90"/>
      <c r="DU349" s="90"/>
      <c r="DV349" s="90"/>
      <c r="DW349" s="90"/>
      <c r="DX349" s="90"/>
      <c r="DY349" s="90"/>
      <c r="DZ349" s="90"/>
      <c r="EA349" s="90"/>
      <c r="EB349" s="90"/>
      <c r="EC349" s="90"/>
      <c r="ED349" s="90"/>
      <c r="EE349" s="90"/>
      <c r="EF349" s="90"/>
      <c r="EG349" s="90"/>
      <c r="EH349" s="90"/>
      <c r="EI349" s="90"/>
      <c r="EJ349" s="90"/>
      <c r="EK349" s="90"/>
      <c r="EL349" s="90"/>
      <c r="EM349" s="90"/>
      <c r="EN349" s="90"/>
      <c r="EO349" s="90"/>
      <c r="EP349" s="90"/>
      <c r="EQ349" s="90"/>
      <c r="ER349" s="90"/>
    </row>
    <row r="350" spans="2:148" s="84" customFormat="1" ht="24.75" customHeight="1">
      <c r="B350" s="85"/>
      <c r="C350" s="106" t="s">
        <v>143</v>
      </c>
      <c r="D350" s="107"/>
      <c r="E350" s="108"/>
      <c r="F350" s="108"/>
      <c r="G350" s="108"/>
      <c r="H350" s="108"/>
      <c r="I350" s="107"/>
      <c r="J350" s="109"/>
      <c r="K350" s="107"/>
      <c r="L350" s="110"/>
      <c r="M350" s="110"/>
      <c r="N350" s="110"/>
      <c r="O350" s="86"/>
      <c r="P350" s="89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90"/>
      <c r="CB350" s="90"/>
      <c r="CC350" s="90"/>
      <c r="CD350" s="90"/>
      <c r="CE350" s="90"/>
      <c r="CF350" s="90"/>
      <c r="CG350" s="90"/>
      <c r="CH350" s="90"/>
      <c r="CI350" s="90"/>
      <c r="CJ350" s="90"/>
      <c r="CK350" s="90"/>
      <c r="CL350" s="90"/>
      <c r="CM350" s="90"/>
      <c r="CN350" s="90"/>
      <c r="CO350" s="90"/>
      <c r="CP350" s="90"/>
      <c r="CQ350" s="90"/>
      <c r="CR350" s="90"/>
      <c r="CS350" s="90"/>
      <c r="CT350" s="90"/>
      <c r="CU350" s="90"/>
      <c r="CV350" s="90"/>
      <c r="CW350" s="90"/>
      <c r="CX350" s="90"/>
      <c r="CY350" s="90"/>
      <c r="CZ350" s="90"/>
      <c r="DA350" s="90"/>
      <c r="DB350" s="90"/>
      <c r="DC350" s="90"/>
      <c r="DD350" s="90"/>
      <c r="DE350" s="90"/>
      <c r="DF350" s="90"/>
      <c r="DG350" s="90"/>
      <c r="DH350" s="90"/>
      <c r="DI350" s="90"/>
      <c r="DJ350" s="90"/>
      <c r="DK350" s="90"/>
      <c r="DL350" s="90"/>
      <c r="DM350" s="90"/>
      <c r="DN350" s="90"/>
      <c r="DO350" s="90"/>
      <c r="DP350" s="90"/>
      <c r="DQ350" s="90"/>
      <c r="DR350" s="90"/>
      <c r="DS350" s="90"/>
      <c r="DT350" s="90"/>
      <c r="DU350" s="90"/>
      <c r="DV350" s="90"/>
      <c r="DW350" s="90"/>
      <c r="DX350" s="90"/>
      <c r="DY350" s="90"/>
      <c r="DZ350" s="90"/>
      <c r="EA350" s="90"/>
      <c r="EB350" s="90"/>
      <c r="EC350" s="90"/>
      <c r="ED350" s="90"/>
      <c r="EE350" s="90"/>
      <c r="EF350" s="90"/>
      <c r="EG350" s="90"/>
      <c r="EH350" s="90"/>
      <c r="EI350" s="90"/>
      <c r="EJ350" s="90"/>
      <c r="EK350" s="90"/>
      <c r="EL350" s="90"/>
      <c r="EM350" s="90"/>
      <c r="EN350" s="90"/>
      <c r="EO350" s="90"/>
      <c r="EP350" s="90"/>
      <c r="EQ350" s="90"/>
      <c r="ER350" s="90"/>
    </row>
    <row r="351" spans="2:148" s="84" customFormat="1" ht="24.75" customHeight="1">
      <c r="B351" s="85"/>
      <c r="C351" s="106" t="s">
        <v>144</v>
      </c>
      <c r="D351" s="107"/>
      <c r="E351" s="108"/>
      <c r="F351" s="108"/>
      <c r="G351" s="108"/>
      <c r="H351" s="108"/>
      <c r="I351" s="107"/>
      <c r="J351" s="109"/>
      <c r="K351" s="107"/>
      <c r="L351" s="110"/>
      <c r="M351" s="110"/>
      <c r="N351" s="110"/>
      <c r="O351" s="86"/>
      <c r="P351" s="89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0"/>
      <c r="DJ351" s="90"/>
      <c r="DK351" s="90"/>
      <c r="DL351" s="90"/>
      <c r="DM351" s="90"/>
      <c r="DN351" s="90"/>
      <c r="DO351" s="90"/>
      <c r="DP351" s="90"/>
      <c r="DQ351" s="90"/>
      <c r="DR351" s="90"/>
      <c r="DS351" s="90"/>
      <c r="DT351" s="90"/>
      <c r="DU351" s="90"/>
      <c r="DV351" s="90"/>
      <c r="DW351" s="90"/>
      <c r="DX351" s="90"/>
      <c r="DY351" s="90"/>
      <c r="DZ351" s="90"/>
      <c r="EA351" s="90"/>
      <c r="EB351" s="90"/>
      <c r="EC351" s="90"/>
      <c r="ED351" s="90"/>
      <c r="EE351" s="90"/>
      <c r="EF351" s="90"/>
      <c r="EG351" s="90"/>
      <c r="EH351" s="90"/>
      <c r="EI351" s="90"/>
      <c r="EJ351" s="90"/>
      <c r="EK351" s="90"/>
      <c r="EL351" s="90"/>
      <c r="EM351" s="90"/>
      <c r="EN351" s="90"/>
      <c r="EO351" s="90"/>
      <c r="EP351" s="90"/>
      <c r="EQ351" s="90"/>
      <c r="ER351" s="90"/>
    </row>
    <row r="352" spans="2:148" s="84" customFormat="1" ht="24.75" customHeight="1">
      <c r="B352" s="85"/>
      <c r="C352" s="111" t="s">
        <v>145</v>
      </c>
      <c r="D352" s="112"/>
      <c r="E352" s="113"/>
      <c r="F352" s="113"/>
      <c r="G352" s="113"/>
      <c r="H352" s="113"/>
      <c r="I352" s="112"/>
      <c r="J352" s="114"/>
      <c r="K352" s="112"/>
      <c r="L352" s="110"/>
      <c r="M352" s="110"/>
      <c r="N352" s="110"/>
      <c r="O352" s="86"/>
      <c r="P352" s="89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90"/>
      <c r="CM352" s="90"/>
      <c r="CN352" s="90"/>
      <c r="CO352" s="90"/>
      <c r="CP352" s="90"/>
      <c r="CQ352" s="90"/>
      <c r="CR352" s="90"/>
      <c r="CS352" s="90"/>
      <c r="CT352" s="90"/>
      <c r="CU352" s="90"/>
      <c r="CV352" s="90"/>
      <c r="CW352" s="90"/>
      <c r="CX352" s="90"/>
      <c r="CY352" s="90"/>
      <c r="CZ352" s="90"/>
      <c r="DA352" s="90"/>
      <c r="DB352" s="90"/>
      <c r="DC352" s="90"/>
      <c r="DD352" s="90"/>
      <c r="DE352" s="90"/>
      <c r="DF352" s="90"/>
      <c r="DG352" s="90"/>
      <c r="DH352" s="90"/>
      <c r="DI352" s="90"/>
      <c r="DJ352" s="90"/>
      <c r="DK352" s="90"/>
      <c r="DL352" s="90"/>
      <c r="DM352" s="90"/>
      <c r="DN352" s="90"/>
      <c r="DO352" s="90"/>
      <c r="DP352" s="90"/>
      <c r="DQ352" s="90"/>
      <c r="DR352" s="90"/>
      <c r="DS352" s="90"/>
      <c r="DT352" s="90"/>
      <c r="DU352" s="90"/>
      <c r="DV352" s="90"/>
      <c r="DW352" s="90"/>
      <c r="DX352" s="90"/>
      <c r="DY352" s="90"/>
      <c r="DZ352" s="90"/>
      <c r="EA352" s="90"/>
      <c r="EB352" s="90"/>
      <c r="EC352" s="90"/>
      <c r="ED352" s="90"/>
      <c r="EE352" s="90"/>
      <c r="EF352" s="90"/>
      <c r="EG352" s="90"/>
      <c r="EH352" s="90"/>
      <c r="EI352" s="90"/>
      <c r="EJ352" s="90"/>
      <c r="EK352" s="90"/>
      <c r="EL352" s="90"/>
      <c r="EM352" s="90"/>
      <c r="EN352" s="90"/>
      <c r="EO352" s="90"/>
      <c r="EP352" s="90"/>
      <c r="EQ352" s="90"/>
      <c r="ER352" s="90"/>
    </row>
    <row r="353" spans="2:16" ht="12" customHeight="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7"/>
    </row>
    <row r="355" ht="18.75" customHeight="1"/>
    <row r="357" spans="2:16" ht="3.75" customHeight="1">
      <c r="B357" s="61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3"/>
    </row>
    <row r="358" spans="2:16" ht="27.75" customHeight="1">
      <c r="B358" s="64"/>
      <c r="C358" s="65"/>
      <c r="D358" s="65"/>
      <c r="E358" s="65"/>
      <c r="F358" s="65"/>
      <c r="G358" s="66"/>
      <c r="H358" s="65"/>
      <c r="I358" s="65"/>
      <c r="J358" s="65"/>
      <c r="K358" s="65"/>
      <c r="L358" s="65"/>
      <c r="M358" s="134" t="s">
        <v>122</v>
      </c>
      <c r="N358" s="230"/>
      <c r="O358" s="231"/>
      <c r="P358" s="67"/>
    </row>
    <row r="359" spans="2:148" s="68" customFormat="1" ht="34.5" customHeight="1">
      <c r="B359" s="69"/>
      <c r="C359" s="232">
        <f>IF(M3="","",IF(INDEX(участники!$A$102:$M$963,$M$3+17-100,13)="","",INDEX(участники!$A$102:$M$963,$M$3+17-100,13)))</f>
      </c>
      <c r="D359" s="233"/>
      <c r="E359" s="70"/>
      <c r="F359" s="234"/>
      <c r="G359" s="235"/>
      <c r="H359" s="65"/>
      <c r="I359" s="71"/>
      <c r="J359" s="236">
        <f>IF(M3="","",IF(INDEX(участники!$A$102:$M$963,$M$3+17-100,1)="","",INDEX(участники!$A$102:$M$963,$M$3+17-100,1)))</f>
      </c>
      <c r="K359" s="237"/>
      <c r="L359" s="71"/>
      <c r="M359" s="134" t="s">
        <v>123</v>
      </c>
      <c r="N359" s="130" t="str">
        <f>IF(M3="","",CONCATENATE(IF(INDEX(участники!$A$102:$M$963,$M$3+17-100,3)="","",INDEX(участники!$A$102:$M$963,$M$3+17-100,3)),"  ",IF(INDEX(участники!$A$102:$M$963,$M$3+17-100,3)="","",INDEX(участники!$A$104:$M$963,$M$3+17-100,3))))</f>
        <v>  </v>
      </c>
      <c r="O359" s="72"/>
      <c r="P359" s="73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  <c r="BT359" s="74"/>
      <c r="BU359" s="74"/>
      <c r="BV359" s="74"/>
      <c r="BW359" s="74"/>
      <c r="BX359" s="74"/>
      <c r="BY359" s="74"/>
      <c r="BZ359" s="74"/>
      <c r="CA359" s="74"/>
      <c r="CB359" s="74"/>
      <c r="CC359" s="74"/>
      <c r="CD359" s="74"/>
      <c r="CE359" s="74"/>
      <c r="CF359" s="74"/>
      <c r="CG359" s="74"/>
      <c r="CH359" s="74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</row>
    <row r="360" spans="2:148" s="75" customFormat="1" ht="15.75" customHeight="1">
      <c r="B360" s="76"/>
      <c r="C360" s="224" t="s">
        <v>124</v>
      </c>
      <c r="D360" s="224"/>
      <c r="E360" s="77"/>
      <c r="F360" s="225" t="s">
        <v>125</v>
      </c>
      <c r="G360" s="225"/>
      <c r="H360" s="78"/>
      <c r="I360" s="77"/>
      <c r="J360" s="224" t="s">
        <v>126</v>
      </c>
      <c r="K360" s="224"/>
      <c r="L360" s="79"/>
      <c r="M360" s="79"/>
      <c r="N360" s="79"/>
      <c r="O360" s="79"/>
      <c r="P360" s="80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  <c r="DK360" s="81"/>
      <c r="DL360" s="81"/>
      <c r="DM360" s="81"/>
      <c r="DN360" s="81"/>
      <c r="DO360" s="81"/>
      <c r="DP360" s="81"/>
      <c r="DQ360" s="81"/>
      <c r="DR360" s="81"/>
      <c r="DS360" s="81"/>
      <c r="DT360" s="81"/>
      <c r="DU360" s="81"/>
      <c r="DV360" s="81"/>
      <c r="DW360" s="81"/>
      <c r="DX360" s="81"/>
      <c r="DY360" s="81"/>
      <c r="DZ360" s="81"/>
      <c r="EA360" s="81"/>
      <c r="EB360" s="81"/>
      <c r="EC360" s="81"/>
      <c r="ED360" s="81"/>
      <c r="EE360" s="81"/>
      <c r="EF360" s="81"/>
      <c r="EG360" s="81"/>
      <c r="EH360" s="81"/>
      <c r="EI360" s="81"/>
      <c r="EJ360" s="81"/>
      <c r="EK360" s="81"/>
      <c r="EL360" s="81"/>
      <c r="EM360" s="81"/>
      <c r="EN360" s="81"/>
      <c r="EO360" s="81"/>
      <c r="EP360" s="81"/>
      <c r="EQ360" s="81"/>
      <c r="ER360" s="81"/>
    </row>
    <row r="361" spans="2:16" ht="40.5" customHeight="1">
      <c r="B361" s="64"/>
      <c r="C361" s="226">
        <f>IF(M3="","",IF(INDEX(участники!$A$102:$M$962,$M$3+17-100,2)="","",INDEX(участники!$A$102:$M$962,$M$3+17-100,2)))</f>
      </c>
      <c r="D361" s="226"/>
      <c r="E361" s="226"/>
      <c r="F361" s="226"/>
      <c r="G361" s="226"/>
      <c r="H361" s="226"/>
      <c r="I361" s="82"/>
      <c r="J361" s="227">
        <f>IF(M3="","",IF(INDEX(участники!$A$102:$M$962,$M$3+17-100,4)="","",INDEX(участники!$A$102:$M$962,$M$3+17-100,4)))</f>
      </c>
      <c r="K361" s="227"/>
      <c r="L361" s="83"/>
      <c r="M361" s="131">
        <f>IF(M3="","",IF(INDEX(участники!$A$102:$M$962,$M$3+17-100,5)="","",INDEX(участники!$A$102:$M$962,$M$3+17-100,5)))</f>
      </c>
      <c r="N361" s="65"/>
      <c r="O361" s="65"/>
      <c r="P361" s="67"/>
    </row>
    <row r="362" spans="2:148" s="84" customFormat="1" ht="12.75" customHeight="1">
      <c r="B362" s="85"/>
      <c r="C362" s="86" t="s">
        <v>127</v>
      </c>
      <c r="D362" s="86"/>
      <c r="E362" s="86"/>
      <c r="F362" s="86"/>
      <c r="G362" s="86"/>
      <c r="H362" s="86"/>
      <c r="I362" s="86"/>
      <c r="J362" s="228" t="s">
        <v>128</v>
      </c>
      <c r="K362" s="228"/>
      <c r="L362" s="86"/>
      <c r="M362" s="88" t="s">
        <v>129</v>
      </c>
      <c r="N362" s="86"/>
      <c r="O362" s="86"/>
      <c r="P362" s="89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0"/>
      <c r="BN362" s="90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0"/>
      <c r="BZ362" s="90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90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0"/>
      <c r="CX362" s="90"/>
      <c r="CY362" s="90"/>
      <c r="CZ362" s="90"/>
      <c r="DA362" s="90"/>
      <c r="DB362" s="90"/>
      <c r="DC362" s="90"/>
      <c r="DD362" s="90"/>
      <c r="DE362" s="90"/>
      <c r="DF362" s="90"/>
      <c r="DG362" s="90"/>
      <c r="DH362" s="90"/>
      <c r="DI362" s="90"/>
      <c r="DJ362" s="90"/>
      <c r="DK362" s="90"/>
      <c r="DL362" s="90"/>
      <c r="DM362" s="90"/>
      <c r="DN362" s="90"/>
      <c r="DO362" s="90"/>
      <c r="DP362" s="90"/>
      <c r="DQ362" s="90"/>
      <c r="DR362" s="90"/>
      <c r="DS362" s="90"/>
      <c r="DT362" s="90"/>
      <c r="DU362" s="90"/>
      <c r="DV362" s="90"/>
      <c r="DW362" s="90"/>
      <c r="DX362" s="90"/>
      <c r="DY362" s="90"/>
      <c r="DZ362" s="90"/>
      <c r="EA362" s="90"/>
      <c r="EB362" s="90"/>
      <c r="EC362" s="90"/>
      <c r="ED362" s="90"/>
      <c r="EE362" s="90"/>
      <c r="EF362" s="90"/>
      <c r="EG362" s="90"/>
      <c r="EH362" s="90"/>
      <c r="EI362" s="90"/>
      <c r="EJ362" s="90"/>
      <c r="EK362" s="90"/>
      <c r="EL362" s="90"/>
      <c r="EM362" s="90"/>
      <c r="EN362" s="90"/>
      <c r="EO362" s="90"/>
      <c r="EP362" s="90"/>
      <c r="EQ362" s="90"/>
      <c r="ER362" s="90"/>
    </row>
    <row r="363" spans="2:148" s="91" customFormat="1" ht="35.25" customHeight="1">
      <c r="B363" s="92"/>
      <c r="C363" s="229">
        <f>IF(M3="","",IF(INDEX(участники!$A$102:$M$962,$M$3+17-100,6)="","",INDEX(участники!$A$102:$M$962,$M$3+17-100,6)))</f>
      </c>
      <c r="D363" s="220"/>
      <c r="E363" s="220"/>
      <c r="F363" s="220"/>
      <c r="G363" s="93"/>
      <c r="H363" s="216">
        <f>IF(M3="","",IF(INDEX(участники!$A$102:$M$962,$M$3+17-100,8)="","",INDEX(участники!$A$102:$M$962,$M$3+17-100,8)))</f>
      </c>
      <c r="I363" s="216"/>
      <c r="J363" s="216"/>
      <c r="K363" s="94"/>
      <c r="L363" s="221"/>
      <c r="M363" s="221"/>
      <c r="N363" s="221"/>
      <c r="O363" s="94"/>
      <c r="P363" s="95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  <c r="AC363" s="96"/>
      <c r="AD363" s="96"/>
      <c r="AE363" s="96"/>
      <c r="AF363" s="96"/>
      <c r="AG363" s="96"/>
      <c r="AH363" s="96"/>
      <c r="AI363" s="96"/>
      <c r="AJ363" s="96"/>
      <c r="AK363" s="96"/>
      <c r="AL363" s="96"/>
      <c r="AM363" s="96"/>
      <c r="AN363" s="96"/>
      <c r="AO363" s="96"/>
      <c r="AP363" s="96"/>
      <c r="AQ363" s="96"/>
      <c r="AR363" s="96"/>
      <c r="AS363" s="96"/>
      <c r="AT363" s="96"/>
      <c r="AU363" s="96"/>
      <c r="AV363" s="96"/>
      <c r="AW363" s="96"/>
      <c r="AX363" s="96"/>
      <c r="AY363" s="96"/>
      <c r="AZ363" s="96"/>
      <c r="BA363" s="96"/>
      <c r="BB363" s="96"/>
      <c r="BC363" s="96"/>
      <c r="BD363" s="96"/>
      <c r="BE363" s="96"/>
      <c r="BF363" s="96"/>
      <c r="BG363" s="96"/>
      <c r="BH363" s="96"/>
      <c r="BI363" s="96"/>
      <c r="BJ363" s="96"/>
      <c r="BK363" s="96"/>
      <c r="BL363" s="96"/>
      <c r="BM363" s="96"/>
      <c r="BN363" s="96"/>
      <c r="BO363" s="96"/>
      <c r="BP363" s="96"/>
      <c r="BQ363" s="96"/>
      <c r="BR363" s="96"/>
      <c r="BS363" s="96"/>
      <c r="BT363" s="96"/>
      <c r="BU363" s="96"/>
      <c r="BV363" s="96"/>
      <c r="BW363" s="96"/>
      <c r="BX363" s="96"/>
      <c r="BY363" s="96"/>
      <c r="BZ363" s="96"/>
      <c r="CA363" s="96"/>
      <c r="CB363" s="96"/>
      <c r="CC363" s="96"/>
      <c r="CD363" s="96"/>
      <c r="CE363" s="96"/>
      <c r="CF363" s="96"/>
      <c r="CG363" s="96"/>
      <c r="CH363" s="96"/>
      <c r="CI363" s="96"/>
      <c r="CJ363" s="96"/>
      <c r="CK363" s="96"/>
      <c r="CL363" s="96"/>
      <c r="CM363" s="96"/>
      <c r="CN363" s="96"/>
      <c r="CO363" s="96"/>
      <c r="CP363" s="96"/>
      <c r="CQ363" s="96"/>
      <c r="CR363" s="96"/>
      <c r="CS363" s="96"/>
      <c r="CT363" s="96"/>
      <c r="CU363" s="96"/>
      <c r="CV363" s="96"/>
      <c r="CW363" s="96"/>
      <c r="CX363" s="96"/>
      <c r="CY363" s="96"/>
      <c r="CZ363" s="96"/>
      <c r="DA363" s="96"/>
      <c r="DB363" s="96"/>
      <c r="DC363" s="96"/>
      <c r="DD363" s="96"/>
      <c r="DE363" s="96"/>
      <c r="DF363" s="96"/>
      <c r="DG363" s="96"/>
      <c r="DH363" s="96"/>
      <c r="DI363" s="96"/>
      <c r="DJ363" s="96"/>
      <c r="DK363" s="96"/>
      <c r="DL363" s="96"/>
      <c r="DM363" s="96"/>
      <c r="DN363" s="96"/>
      <c r="DO363" s="96"/>
      <c r="DP363" s="96"/>
      <c r="DQ363" s="96"/>
      <c r="DR363" s="96"/>
      <c r="DS363" s="96"/>
      <c r="DT363" s="96"/>
      <c r="DU363" s="96"/>
      <c r="DV363" s="96"/>
      <c r="DW363" s="96"/>
      <c r="DX363" s="96"/>
      <c r="DY363" s="96"/>
      <c r="DZ363" s="96"/>
      <c r="EA363" s="96"/>
      <c r="EB363" s="96"/>
      <c r="EC363" s="96"/>
      <c r="ED363" s="96"/>
      <c r="EE363" s="96"/>
      <c r="EF363" s="96"/>
      <c r="EG363" s="96"/>
      <c r="EH363" s="96"/>
      <c r="EI363" s="96"/>
      <c r="EJ363" s="96"/>
      <c r="EK363" s="96"/>
      <c r="EL363" s="96"/>
      <c r="EM363" s="96"/>
      <c r="EN363" s="96"/>
      <c r="EO363" s="96"/>
      <c r="EP363" s="96"/>
      <c r="EQ363" s="96"/>
      <c r="ER363" s="96"/>
    </row>
    <row r="364" spans="2:148" s="84" customFormat="1" ht="11.25" customHeight="1">
      <c r="B364" s="85"/>
      <c r="C364" s="86" t="s">
        <v>130</v>
      </c>
      <c r="D364" s="86"/>
      <c r="E364" s="86"/>
      <c r="F364" s="86"/>
      <c r="G364" s="97"/>
      <c r="H364" s="217" t="s">
        <v>131</v>
      </c>
      <c r="I364" s="217"/>
      <c r="J364" s="217"/>
      <c r="K364" s="86"/>
      <c r="L364" s="218"/>
      <c r="M364" s="218"/>
      <c r="N364" s="218"/>
      <c r="O364" s="86"/>
      <c r="P364" s="89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0"/>
      <c r="CX364" s="90"/>
      <c r="CY364" s="90"/>
      <c r="CZ364" s="90"/>
      <c r="DA364" s="90"/>
      <c r="DB364" s="90"/>
      <c r="DC364" s="90"/>
      <c r="DD364" s="90"/>
      <c r="DE364" s="90"/>
      <c r="DF364" s="90"/>
      <c r="DG364" s="90"/>
      <c r="DH364" s="90"/>
      <c r="DI364" s="90"/>
      <c r="DJ364" s="90"/>
      <c r="DK364" s="90"/>
      <c r="DL364" s="90"/>
      <c r="DM364" s="90"/>
      <c r="DN364" s="90"/>
      <c r="DO364" s="90"/>
      <c r="DP364" s="90"/>
      <c r="DQ364" s="90"/>
      <c r="DR364" s="90"/>
      <c r="DS364" s="90"/>
      <c r="DT364" s="90"/>
      <c r="DU364" s="90"/>
      <c r="DV364" s="90"/>
      <c r="DW364" s="90"/>
      <c r="DX364" s="90"/>
      <c r="DY364" s="90"/>
      <c r="DZ364" s="90"/>
      <c r="EA364" s="90"/>
      <c r="EB364" s="90"/>
      <c r="EC364" s="90"/>
      <c r="ED364" s="90"/>
      <c r="EE364" s="90"/>
      <c r="EF364" s="90"/>
      <c r="EG364" s="90"/>
      <c r="EH364" s="90"/>
      <c r="EI364" s="90"/>
      <c r="EJ364" s="90"/>
      <c r="EK364" s="90"/>
      <c r="EL364" s="90"/>
      <c r="EM364" s="90"/>
      <c r="EN364" s="90"/>
      <c r="EO364" s="90"/>
      <c r="EP364" s="90"/>
      <c r="EQ364" s="90"/>
      <c r="ER364" s="90"/>
    </row>
    <row r="365" spans="2:148" s="91" customFormat="1" ht="24" customHeight="1">
      <c r="B365" s="92"/>
      <c r="C365" s="219">
        <f>IF(M3="","",IF(INDEX(участники!$A$102:$M$962,$M$3+17-100,7)="","",INDEX(участники!$A$102:$M$962,$M$3+17-100,7)))</f>
      </c>
      <c r="D365" s="220"/>
      <c r="E365" s="220"/>
      <c r="F365" s="220"/>
      <c r="G365" s="93"/>
      <c r="H365" s="216">
        <f>IF(M3="","",IF(INDEX(участники!$A$102:$M$962,$M$3+17-100,9)="","",INDEX(участники!$A$102:$M$962,$M$3+17-100,9)))</f>
      </c>
      <c r="I365" s="216"/>
      <c r="J365" s="216"/>
      <c r="K365" s="216"/>
      <c r="L365" s="216"/>
      <c r="M365" s="216"/>
      <c r="N365" s="216"/>
      <c r="O365" s="94"/>
      <c r="P365" s="95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/>
      <c r="AE365" s="96"/>
      <c r="AF365" s="96"/>
      <c r="AG365" s="96"/>
      <c r="AH365" s="96"/>
      <c r="AI365" s="96"/>
      <c r="AJ365" s="96"/>
      <c r="AK365" s="96"/>
      <c r="AL365" s="96"/>
      <c r="AM365" s="96"/>
      <c r="AN365" s="96"/>
      <c r="AO365" s="96"/>
      <c r="AP365" s="96"/>
      <c r="AQ365" s="96"/>
      <c r="AR365" s="96"/>
      <c r="AS365" s="96"/>
      <c r="AT365" s="96"/>
      <c r="AU365" s="96"/>
      <c r="AV365" s="96"/>
      <c r="AW365" s="96"/>
      <c r="AX365" s="96"/>
      <c r="AY365" s="96"/>
      <c r="AZ365" s="96"/>
      <c r="BA365" s="96"/>
      <c r="BB365" s="96"/>
      <c r="BC365" s="96"/>
      <c r="BD365" s="96"/>
      <c r="BE365" s="96"/>
      <c r="BF365" s="96"/>
      <c r="BG365" s="96"/>
      <c r="BH365" s="96"/>
      <c r="BI365" s="96"/>
      <c r="BJ365" s="96"/>
      <c r="BK365" s="96"/>
      <c r="BL365" s="96"/>
      <c r="BM365" s="96"/>
      <c r="BN365" s="96"/>
      <c r="BO365" s="96"/>
      <c r="BP365" s="96"/>
      <c r="BQ365" s="96"/>
      <c r="BR365" s="96"/>
      <c r="BS365" s="96"/>
      <c r="BT365" s="96"/>
      <c r="BU365" s="96"/>
      <c r="BV365" s="96"/>
      <c r="BW365" s="96"/>
      <c r="BX365" s="96"/>
      <c r="BY365" s="96"/>
      <c r="BZ365" s="96"/>
      <c r="CA365" s="96"/>
      <c r="CB365" s="96"/>
      <c r="CC365" s="96"/>
      <c r="CD365" s="96"/>
      <c r="CE365" s="96"/>
      <c r="CF365" s="96"/>
      <c r="CG365" s="96"/>
      <c r="CH365" s="96"/>
      <c r="CI365" s="96"/>
      <c r="CJ365" s="96"/>
      <c r="CK365" s="96"/>
      <c r="CL365" s="96"/>
      <c r="CM365" s="96"/>
      <c r="CN365" s="96"/>
      <c r="CO365" s="96"/>
      <c r="CP365" s="96"/>
      <c r="CQ365" s="96"/>
      <c r="CR365" s="96"/>
      <c r="CS365" s="96"/>
      <c r="CT365" s="96"/>
      <c r="CU365" s="96"/>
      <c r="CV365" s="96"/>
      <c r="CW365" s="96"/>
      <c r="CX365" s="96"/>
      <c r="CY365" s="96"/>
      <c r="CZ365" s="96"/>
      <c r="DA365" s="96"/>
      <c r="DB365" s="96"/>
      <c r="DC365" s="96"/>
      <c r="DD365" s="96"/>
      <c r="DE365" s="96"/>
      <c r="DF365" s="96"/>
      <c r="DG365" s="96"/>
      <c r="DH365" s="96"/>
      <c r="DI365" s="96"/>
      <c r="DJ365" s="96"/>
      <c r="DK365" s="96"/>
      <c r="DL365" s="96"/>
      <c r="DM365" s="96"/>
      <c r="DN365" s="96"/>
      <c r="DO365" s="96"/>
      <c r="DP365" s="96"/>
      <c r="DQ365" s="96"/>
      <c r="DR365" s="96"/>
      <c r="DS365" s="96"/>
      <c r="DT365" s="96"/>
      <c r="DU365" s="96"/>
      <c r="DV365" s="96"/>
      <c r="DW365" s="96"/>
      <c r="DX365" s="96"/>
      <c r="DY365" s="96"/>
      <c r="DZ365" s="96"/>
      <c r="EA365" s="96"/>
      <c r="EB365" s="96"/>
      <c r="EC365" s="96"/>
      <c r="ED365" s="96"/>
      <c r="EE365" s="96"/>
      <c r="EF365" s="96"/>
      <c r="EG365" s="96"/>
      <c r="EH365" s="96"/>
      <c r="EI365" s="96"/>
      <c r="EJ365" s="96"/>
      <c r="EK365" s="96"/>
      <c r="EL365" s="96"/>
      <c r="EM365" s="96"/>
      <c r="EN365" s="96"/>
      <c r="EO365" s="96"/>
      <c r="EP365" s="96"/>
      <c r="EQ365" s="96"/>
      <c r="ER365" s="96"/>
    </row>
    <row r="366" spans="2:148" s="84" customFormat="1" ht="9.75" customHeight="1">
      <c r="B366" s="85"/>
      <c r="C366" s="86" t="s">
        <v>132</v>
      </c>
      <c r="D366" s="86"/>
      <c r="E366" s="86"/>
      <c r="F366" s="86"/>
      <c r="G366" s="86"/>
      <c r="H366" s="217" t="s">
        <v>133</v>
      </c>
      <c r="I366" s="217"/>
      <c r="J366" s="217"/>
      <c r="K366" s="217"/>
      <c r="L366" s="217"/>
      <c r="M366" s="217"/>
      <c r="N366" s="86"/>
      <c r="O366" s="86"/>
      <c r="P366" s="89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0"/>
      <c r="BN366" s="90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0"/>
      <c r="BZ366" s="90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90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0"/>
      <c r="CX366" s="90"/>
      <c r="CY366" s="90"/>
      <c r="CZ366" s="90"/>
      <c r="DA366" s="90"/>
      <c r="DB366" s="90"/>
      <c r="DC366" s="90"/>
      <c r="DD366" s="90"/>
      <c r="DE366" s="90"/>
      <c r="DF366" s="90"/>
      <c r="DG366" s="90"/>
      <c r="DH366" s="90"/>
      <c r="DI366" s="90"/>
      <c r="DJ366" s="90"/>
      <c r="DK366" s="90"/>
      <c r="DL366" s="90"/>
      <c r="DM366" s="90"/>
      <c r="DN366" s="90"/>
      <c r="DO366" s="90"/>
      <c r="DP366" s="90"/>
      <c r="DQ366" s="90"/>
      <c r="DR366" s="90"/>
      <c r="DS366" s="90"/>
      <c r="DT366" s="90"/>
      <c r="DU366" s="90"/>
      <c r="DV366" s="90"/>
      <c r="DW366" s="90"/>
      <c r="DX366" s="90"/>
      <c r="DY366" s="90"/>
      <c r="DZ366" s="90"/>
      <c r="EA366" s="90"/>
      <c r="EB366" s="90"/>
      <c r="EC366" s="90"/>
      <c r="ED366" s="90"/>
      <c r="EE366" s="90"/>
      <c r="EF366" s="90"/>
      <c r="EG366" s="90"/>
      <c r="EH366" s="90"/>
      <c r="EI366" s="90"/>
      <c r="EJ366" s="90"/>
      <c r="EK366" s="90"/>
      <c r="EL366" s="90"/>
      <c r="EM366" s="90"/>
      <c r="EN366" s="90"/>
      <c r="EO366" s="90"/>
      <c r="EP366" s="90"/>
      <c r="EQ366" s="90"/>
      <c r="ER366" s="90"/>
    </row>
    <row r="367" spans="2:148" s="84" customFormat="1" ht="9.75" customHeight="1">
      <c r="B367" s="85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9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0"/>
      <c r="CX367" s="90"/>
      <c r="CY367" s="90"/>
      <c r="CZ367" s="90"/>
      <c r="DA367" s="90"/>
      <c r="DB367" s="90"/>
      <c r="DC367" s="90"/>
      <c r="DD367" s="90"/>
      <c r="DE367" s="90"/>
      <c r="DF367" s="90"/>
      <c r="DG367" s="90"/>
      <c r="DH367" s="90"/>
      <c r="DI367" s="90"/>
      <c r="DJ367" s="90"/>
      <c r="DK367" s="90"/>
      <c r="DL367" s="90"/>
      <c r="DM367" s="90"/>
      <c r="DN367" s="90"/>
      <c r="DO367" s="90"/>
      <c r="DP367" s="90"/>
      <c r="DQ367" s="90"/>
      <c r="DR367" s="90"/>
      <c r="DS367" s="90"/>
      <c r="DT367" s="90"/>
      <c r="DU367" s="90"/>
      <c r="DV367" s="90"/>
      <c r="DW367" s="90"/>
      <c r="DX367" s="90"/>
      <c r="DY367" s="90"/>
      <c r="DZ367" s="90"/>
      <c r="EA367" s="90"/>
      <c r="EB367" s="90"/>
      <c r="EC367" s="90"/>
      <c r="ED367" s="90"/>
      <c r="EE367" s="90"/>
      <c r="EF367" s="90"/>
      <c r="EG367" s="90"/>
      <c r="EH367" s="90"/>
      <c r="EI367" s="90"/>
      <c r="EJ367" s="90"/>
      <c r="EK367" s="90"/>
      <c r="EL367" s="90"/>
      <c r="EM367" s="90"/>
      <c r="EN367" s="90"/>
      <c r="EO367" s="90"/>
      <c r="EP367" s="90"/>
      <c r="EQ367" s="90"/>
      <c r="ER367" s="90"/>
    </row>
    <row r="368" spans="2:16" ht="26.25" customHeight="1">
      <c r="B368" s="64"/>
      <c r="C368" s="214">
        <f>IF(M3="","",IF(INDEX(участники!$A$102:$M$962,$M$3+17-100,10)="","",INDEX(участники!$A$102:$M$962,$M$3+17-100,10)))</f>
      </c>
      <c r="D368" s="215"/>
      <c r="E368" s="215"/>
      <c r="F368" s="215"/>
      <c r="G368" s="215"/>
      <c r="H368" s="215"/>
      <c r="I368" s="215"/>
      <c r="J368" s="215"/>
      <c r="K368" s="65"/>
      <c r="L368" s="132">
        <f>IF(M3="","",IF(INDEX(участники!$A$102:$M$962,$M$3+17-100,11)="","",INDEX(участники!$A$102:$M$962,$M$3+17-100,11)))</f>
      </c>
      <c r="M368" s="98"/>
      <c r="N368" s="132">
        <f>IF(M3="","",IF(INDEX(участники!$A$102:$M$962,$M$3+17-100,12)="","",INDEX(участники!$A$102:$M$962,$M$3+17-100,12)))</f>
      </c>
      <c r="O368" s="65"/>
      <c r="P368" s="67"/>
    </row>
    <row r="369" spans="2:148" s="84" customFormat="1" ht="14.25" customHeight="1">
      <c r="B369" s="85"/>
      <c r="C369" s="86" t="s">
        <v>134</v>
      </c>
      <c r="D369" s="86"/>
      <c r="E369" s="86"/>
      <c r="F369" s="86"/>
      <c r="G369" s="86"/>
      <c r="H369" s="86"/>
      <c r="I369" s="86"/>
      <c r="J369" s="218"/>
      <c r="K369" s="218"/>
      <c r="L369" s="87" t="s">
        <v>135</v>
      </c>
      <c r="M369" s="99"/>
      <c r="N369" s="133" t="s">
        <v>136</v>
      </c>
      <c r="O369" s="86"/>
      <c r="P369" s="89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/>
      <c r="CO369" s="90"/>
      <c r="CP369" s="90"/>
      <c r="CQ369" s="90"/>
      <c r="CR369" s="90"/>
      <c r="CS369" s="90"/>
      <c r="CT369" s="90"/>
      <c r="CU369" s="90"/>
      <c r="CV369" s="90"/>
      <c r="CW369" s="90"/>
      <c r="CX369" s="90"/>
      <c r="CY369" s="90"/>
      <c r="CZ369" s="90"/>
      <c r="DA369" s="90"/>
      <c r="DB369" s="90"/>
      <c r="DC369" s="90"/>
      <c r="DD369" s="90"/>
      <c r="DE369" s="90"/>
      <c r="DF369" s="90"/>
      <c r="DG369" s="90"/>
      <c r="DH369" s="90"/>
      <c r="DI369" s="90"/>
      <c r="DJ369" s="90"/>
      <c r="DK369" s="90"/>
      <c r="DL369" s="90"/>
      <c r="DM369" s="90"/>
      <c r="DN369" s="90"/>
      <c r="DO369" s="90"/>
      <c r="DP369" s="90"/>
      <c r="DQ369" s="90"/>
      <c r="DR369" s="90"/>
      <c r="DS369" s="90"/>
      <c r="DT369" s="90"/>
      <c r="DU369" s="90"/>
      <c r="DV369" s="90"/>
      <c r="DW369" s="90"/>
      <c r="DX369" s="90"/>
      <c r="DY369" s="90"/>
      <c r="DZ369" s="90"/>
      <c r="EA369" s="90"/>
      <c r="EB369" s="90"/>
      <c r="EC369" s="90"/>
      <c r="ED369" s="90"/>
      <c r="EE369" s="90"/>
      <c r="EF369" s="90"/>
      <c r="EG369" s="90"/>
      <c r="EH369" s="90"/>
      <c r="EI369" s="90"/>
      <c r="EJ369" s="90"/>
      <c r="EK369" s="90"/>
      <c r="EL369" s="90"/>
      <c r="EM369" s="90"/>
      <c r="EN369" s="90"/>
      <c r="EO369" s="90"/>
      <c r="EP369" s="90"/>
      <c r="EQ369" s="90"/>
      <c r="ER369" s="90"/>
    </row>
    <row r="370" spans="2:148" s="84" customFormat="1" ht="24.75" customHeight="1">
      <c r="B370" s="85"/>
      <c r="C370" s="86"/>
      <c r="D370" s="86"/>
      <c r="E370" s="86"/>
      <c r="F370" s="86"/>
      <c r="G370" s="86"/>
      <c r="H370" s="86"/>
      <c r="I370" s="86"/>
      <c r="J370" s="88"/>
      <c r="K370" s="88"/>
      <c r="L370" s="86"/>
      <c r="M370" s="88"/>
      <c r="N370" s="88"/>
      <c r="O370" s="86"/>
      <c r="P370" s="89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/>
      <c r="CO370" s="90"/>
      <c r="CP370" s="90"/>
      <c r="CQ370" s="90"/>
      <c r="CR370" s="90"/>
      <c r="CS370" s="90"/>
      <c r="CT370" s="90"/>
      <c r="CU370" s="90"/>
      <c r="CV370" s="90"/>
      <c r="CW370" s="90"/>
      <c r="CX370" s="90"/>
      <c r="CY370" s="90"/>
      <c r="CZ370" s="90"/>
      <c r="DA370" s="90"/>
      <c r="DB370" s="90"/>
      <c r="DC370" s="90"/>
      <c r="DD370" s="90"/>
      <c r="DE370" s="90"/>
      <c r="DF370" s="90"/>
      <c r="DG370" s="90"/>
      <c r="DH370" s="90"/>
      <c r="DI370" s="90"/>
      <c r="DJ370" s="90"/>
      <c r="DK370" s="90"/>
      <c r="DL370" s="90"/>
      <c r="DM370" s="90"/>
      <c r="DN370" s="90"/>
      <c r="DO370" s="90"/>
      <c r="DP370" s="90"/>
      <c r="DQ370" s="90"/>
      <c r="DR370" s="90"/>
      <c r="DS370" s="90"/>
      <c r="DT370" s="90"/>
      <c r="DU370" s="90"/>
      <c r="DV370" s="90"/>
      <c r="DW370" s="90"/>
      <c r="DX370" s="90"/>
      <c r="DY370" s="90"/>
      <c r="DZ370" s="90"/>
      <c r="EA370" s="90"/>
      <c r="EB370" s="90"/>
      <c r="EC370" s="90"/>
      <c r="ED370" s="90"/>
      <c r="EE370" s="90"/>
      <c r="EF370" s="90"/>
      <c r="EG370" s="90"/>
      <c r="EH370" s="90"/>
      <c r="EI370" s="90"/>
      <c r="EJ370" s="90"/>
      <c r="EK370" s="90"/>
      <c r="EL370" s="90"/>
      <c r="EM370" s="90"/>
      <c r="EN370" s="90"/>
      <c r="EO370" s="90"/>
      <c r="EP370" s="90"/>
      <c r="EQ370" s="90"/>
      <c r="ER370" s="90"/>
    </row>
    <row r="371" spans="2:148" s="84" customFormat="1" ht="17.25" customHeight="1">
      <c r="B371" s="85"/>
      <c r="C371" s="100" t="s">
        <v>137</v>
      </c>
      <c r="D371" s="101"/>
      <c r="E371" s="102"/>
      <c r="F371" s="103" t="s">
        <v>138</v>
      </c>
      <c r="G371" s="102"/>
      <c r="H371" s="102"/>
      <c r="I371" s="104"/>
      <c r="J371" s="222" t="s">
        <v>139</v>
      </c>
      <c r="K371" s="223"/>
      <c r="L371" s="105" t="s">
        <v>140</v>
      </c>
      <c r="M371" s="105" t="s">
        <v>141</v>
      </c>
      <c r="N371" s="105" t="s">
        <v>142</v>
      </c>
      <c r="O371" s="86"/>
      <c r="P371" s="89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/>
      <c r="CO371" s="90"/>
      <c r="CP371" s="90"/>
      <c r="CQ371" s="90"/>
      <c r="CR371" s="90"/>
      <c r="CS371" s="90"/>
      <c r="CT371" s="90"/>
      <c r="CU371" s="90"/>
      <c r="CV371" s="90"/>
      <c r="CW371" s="90"/>
      <c r="CX371" s="90"/>
      <c r="CY371" s="90"/>
      <c r="CZ371" s="90"/>
      <c r="DA371" s="90"/>
      <c r="DB371" s="90"/>
      <c r="DC371" s="90"/>
      <c r="DD371" s="90"/>
      <c r="DE371" s="90"/>
      <c r="DF371" s="90"/>
      <c r="DG371" s="90"/>
      <c r="DH371" s="90"/>
      <c r="DI371" s="90"/>
      <c r="DJ371" s="90"/>
      <c r="DK371" s="90"/>
      <c r="DL371" s="90"/>
      <c r="DM371" s="90"/>
      <c r="DN371" s="90"/>
      <c r="DO371" s="90"/>
      <c r="DP371" s="90"/>
      <c r="DQ371" s="90"/>
      <c r="DR371" s="90"/>
      <c r="DS371" s="90"/>
      <c r="DT371" s="90"/>
      <c r="DU371" s="90"/>
      <c r="DV371" s="90"/>
      <c r="DW371" s="90"/>
      <c r="DX371" s="90"/>
      <c r="DY371" s="90"/>
      <c r="DZ371" s="90"/>
      <c r="EA371" s="90"/>
      <c r="EB371" s="90"/>
      <c r="EC371" s="90"/>
      <c r="ED371" s="90"/>
      <c r="EE371" s="90"/>
      <c r="EF371" s="90"/>
      <c r="EG371" s="90"/>
      <c r="EH371" s="90"/>
      <c r="EI371" s="90"/>
      <c r="EJ371" s="90"/>
      <c r="EK371" s="90"/>
      <c r="EL371" s="90"/>
      <c r="EM371" s="90"/>
      <c r="EN371" s="90"/>
      <c r="EO371" s="90"/>
      <c r="EP371" s="90"/>
      <c r="EQ371" s="90"/>
      <c r="ER371" s="90"/>
    </row>
    <row r="372" spans="2:148" s="84" customFormat="1" ht="24.75" customHeight="1">
      <c r="B372" s="85"/>
      <c r="C372" s="106" t="s">
        <v>143</v>
      </c>
      <c r="D372" s="107"/>
      <c r="E372" s="108"/>
      <c r="F372" s="108"/>
      <c r="G372" s="108"/>
      <c r="H372" s="108"/>
      <c r="I372" s="107"/>
      <c r="J372" s="109"/>
      <c r="K372" s="107"/>
      <c r="L372" s="110"/>
      <c r="M372" s="110"/>
      <c r="N372" s="110"/>
      <c r="O372" s="86"/>
      <c r="P372" s="89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/>
      <c r="CO372" s="90"/>
      <c r="CP372" s="90"/>
      <c r="CQ372" s="90"/>
      <c r="CR372" s="90"/>
      <c r="CS372" s="90"/>
      <c r="CT372" s="90"/>
      <c r="CU372" s="90"/>
      <c r="CV372" s="90"/>
      <c r="CW372" s="90"/>
      <c r="CX372" s="90"/>
      <c r="CY372" s="90"/>
      <c r="CZ372" s="90"/>
      <c r="DA372" s="90"/>
      <c r="DB372" s="90"/>
      <c r="DC372" s="90"/>
      <c r="DD372" s="90"/>
      <c r="DE372" s="90"/>
      <c r="DF372" s="90"/>
      <c r="DG372" s="90"/>
      <c r="DH372" s="90"/>
      <c r="DI372" s="90"/>
      <c r="DJ372" s="90"/>
      <c r="DK372" s="90"/>
      <c r="DL372" s="90"/>
      <c r="DM372" s="90"/>
      <c r="DN372" s="90"/>
      <c r="DO372" s="90"/>
      <c r="DP372" s="90"/>
      <c r="DQ372" s="90"/>
      <c r="DR372" s="90"/>
      <c r="DS372" s="90"/>
      <c r="DT372" s="90"/>
      <c r="DU372" s="90"/>
      <c r="DV372" s="90"/>
      <c r="DW372" s="90"/>
      <c r="DX372" s="90"/>
      <c r="DY372" s="90"/>
      <c r="DZ372" s="90"/>
      <c r="EA372" s="90"/>
      <c r="EB372" s="90"/>
      <c r="EC372" s="90"/>
      <c r="ED372" s="90"/>
      <c r="EE372" s="90"/>
      <c r="EF372" s="90"/>
      <c r="EG372" s="90"/>
      <c r="EH372" s="90"/>
      <c r="EI372" s="90"/>
      <c r="EJ372" s="90"/>
      <c r="EK372" s="90"/>
      <c r="EL372" s="90"/>
      <c r="EM372" s="90"/>
      <c r="EN372" s="90"/>
      <c r="EO372" s="90"/>
      <c r="EP372" s="90"/>
      <c r="EQ372" s="90"/>
      <c r="ER372" s="90"/>
    </row>
    <row r="373" spans="2:148" s="84" customFormat="1" ht="24.75" customHeight="1">
      <c r="B373" s="85"/>
      <c r="C373" s="106" t="s">
        <v>144</v>
      </c>
      <c r="D373" s="107"/>
      <c r="E373" s="108"/>
      <c r="F373" s="108"/>
      <c r="G373" s="108"/>
      <c r="H373" s="108"/>
      <c r="I373" s="107"/>
      <c r="J373" s="109"/>
      <c r="K373" s="107"/>
      <c r="L373" s="110"/>
      <c r="M373" s="110"/>
      <c r="N373" s="110"/>
      <c r="O373" s="86"/>
      <c r="P373" s="89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0"/>
      <c r="BN373" s="90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0"/>
      <c r="BZ373" s="90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90"/>
      <c r="CM373" s="90"/>
      <c r="CN373" s="90"/>
      <c r="CO373" s="90"/>
      <c r="CP373" s="90"/>
      <c r="CQ373" s="90"/>
      <c r="CR373" s="90"/>
      <c r="CS373" s="90"/>
      <c r="CT373" s="90"/>
      <c r="CU373" s="90"/>
      <c r="CV373" s="90"/>
      <c r="CW373" s="90"/>
      <c r="CX373" s="90"/>
      <c r="CY373" s="90"/>
      <c r="CZ373" s="90"/>
      <c r="DA373" s="90"/>
      <c r="DB373" s="90"/>
      <c r="DC373" s="90"/>
      <c r="DD373" s="90"/>
      <c r="DE373" s="90"/>
      <c r="DF373" s="90"/>
      <c r="DG373" s="90"/>
      <c r="DH373" s="90"/>
      <c r="DI373" s="90"/>
      <c r="DJ373" s="90"/>
      <c r="DK373" s="90"/>
      <c r="DL373" s="90"/>
      <c r="DM373" s="90"/>
      <c r="DN373" s="90"/>
      <c r="DO373" s="90"/>
      <c r="DP373" s="90"/>
      <c r="DQ373" s="90"/>
      <c r="DR373" s="90"/>
      <c r="DS373" s="90"/>
      <c r="DT373" s="90"/>
      <c r="DU373" s="90"/>
      <c r="DV373" s="90"/>
      <c r="DW373" s="90"/>
      <c r="DX373" s="90"/>
      <c r="DY373" s="90"/>
      <c r="DZ373" s="90"/>
      <c r="EA373" s="90"/>
      <c r="EB373" s="90"/>
      <c r="EC373" s="90"/>
      <c r="ED373" s="90"/>
      <c r="EE373" s="90"/>
      <c r="EF373" s="90"/>
      <c r="EG373" s="90"/>
      <c r="EH373" s="90"/>
      <c r="EI373" s="90"/>
      <c r="EJ373" s="90"/>
      <c r="EK373" s="90"/>
      <c r="EL373" s="90"/>
      <c r="EM373" s="90"/>
      <c r="EN373" s="90"/>
      <c r="EO373" s="90"/>
      <c r="EP373" s="90"/>
      <c r="EQ373" s="90"/>
      <c r="ER373" s="90"/>
    </row>
    <row r="374" spans="2:148" s="84" customFormat="1" ht="24.75" customHeight="1">
      <c r="B374" s="85"/>
      <c r="C374" s="111" t="s">
        <v>145</v>
      </c>
      <c r="D374" s="112"/>
      <c r="E374" s="113"/>
      <c r="F374" s="113"/>
      <c r="G374" s="113"/>
      <c r="H374" s="113"/>
      <c r="I374" s="112"/>
      <c r="J374" s="114"/>
      <c r="K374" s="112"/>
      <c r="L374" s="110"/>
      <c r="M374" s="110"/>
      <c r="N374" s="110"/>
      <c r="O374" s="86"/>
      <c r="P374" s="89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  <c r="BZ374" s="90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90"/>
      <c r="CM374" s="90"/>
      <c r="CN374" s="90"/>
      <c r="CO374" s="90"/>
      <c r="CP374" s="90"/>
      <c r="CQ374" s="90"/>
      <c r="CR374" s="90"/>
      <c r="CS374" s="90"/>
      <c r="CT374" s="90"/>
      <c r="CU374" s="90"/>
      <c r="CV374" s="90"/>
      <c r="CW374" s="90"/>
      <c r="CX374" s="90"/>
      <c r="CY374" s="90"/>
      <c r="CZ374" s="90"/>
      <c r="DA374" s="90"/>
      <c r="DB374" s="90"/>
      <c r="DC374" s="90"/>
      <c r="DD374" s="90"/>
      <c r="DE374" s="90"/>
      <c r="DF374" s="90"/>
      <c r="DG374" s="90"/>
      <c r="DH374" s="90"/>
      <c r="DI374" s="90"/>
      <c r="DJ374" s="90"/>
      <c r="DK374" s="90"/>
      <c r="DL374" s="90"/>
      <c r="DM374" s="90"/>
      <c r="DN374" s="90"/>
      <c r="DO374" s="90"/>
      <c r="DP374" s="90"/>
      <c r="DQ374" s="90"/>
      <c r="DR374" s="90"/>
      <c r="DS374" s="90"/>
      <c r="DT374" s="90"/>
      <c r="DU374" s="90"/>
      <c r="DV374" s="90"/>
      <c r="DW374" s="90"/>
      <c r="DX374" s="90"/>
      <c r="DY374" s="90"/>
      <c r="DZ374" s="90"/>
      <c r="EA374" s="90"/>
      <c r="EB374" s="90"/>
      <c r="EC374" s="90"/>
      <c r="ED374" s="90"/>
      <c r="EE374" s="90"/>
      <c r="EF374" s="90"/>
      <c r="EG374" s="90"/>
      <c r="EH374" s="90"/>
      <c r="EI374" s="90"/>
      <c r="EJ374" s="90"/>
      <c r="EK374" s="90"/>
      <c r="EL374" s="90"/>
      <c r="EM374" s="90"/>
      <c r="EN374" s="90"/>
      <c r="EO374" s="90"/>
      <c r="EP374" s="90"/>
      <c r="EQ374" s="90"/>
      <c r="ER374" s="90"/>
    </row>
    <row r="375" spans="2:16" ht="12" customHeight="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7"/>
    </row>
    <row r="376" spans="2:16" ht="3.75" customHeight="1">
      <c r="B376" s="61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3"/>
    </row>
    <row r="377" spans="2:16" ht="27.75" customHeight="1">
      <c r="B377" s="64"/>
      <c r="C377" s="65"/>
      <c r="D377" s="65"/>
      <c r="E377" s="65"/>
      <c r="F377" s="65"/>
      <c r="G377" s="66"/>
      <c r="H377" s="65"/>
      <c r="I377" s="65"/>
      <c r="J377" s="65"/>
      <c r="K377" s="65"/>
      <c r="L377" s="65"/>
      <c r="M377" s="134" t="s">
        <v>122</v>
      </c>
      <c r="N377" s="238"/>
      <c r="O377" s="239"/>
      <c r="P377" s="67"/>
    </row>
    <row r="378" spans="2:148" s="68" customFormat="1" ht="34.5" customHeight="1">
      <c r="B378" s="69"/>
      <c r="C378" s="232">
        <f>IF(M3="","",IF(INDEX(участники!$A$102:$M$963,$M$3+18-100,13)="","",INDEX(участники!$A$102:$M$963,$M$3+18-100,13)))</f>
      </c>
      <c r="D378" s="233"/>
      <c r="E378" s="70"/>
      <c r="F378" s="234"/>
      <c r="G378" s="235"/>
      <c r="H378" s="65"/>
      <c r="I378" s="71"/>
      <c r="J378" s="236">
        <f>IF(M3="","",IF(INDEX(участники!$A$102:$M$963,$M$3+18-100,1)="","",INDEX(участники!$A$102:$M$963,$M$3+18-100,1)))</f>
      </c>
      <c r="K378" s="237"/>
      <c r="L378" s="71"/>
      <c r="M378" s="134" t="s">
        <v>123</v>
      </c>
      <c r="N378" s="130" t="str">
        <f>IF(M3="","",CONCATENATE(IF(INDEX(участники!$A$102:$M$963,$M$3+18-100,3)="","",INDEX(участники!$A$102:$M$963,$M$3+18-100,3)),"  ",IF(INDEX(участники!$A$102:$M$963,$M$3+18-100,3)="","",INDEX(участники!$A$104:$M$963,$M$3+18-100,3))))</f>
        <v>  </v>
      </c>
      <c r="O378" s="72"/>
      <c r="P378" s="73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  <c r="BT378" s="74"/>
      <c r="BU378" s="74"/>
      <c r="BV378" s="74"/>
      <c r="BW378" s="74"/>
      <c r="BX378" s="74"/>
      <c r="BY378" s="74"/>
      <c r="BZ378" s="74"/>
      <c r="CA378" s="74"/>
      <c r="CB378" s="74"/>
      <c r="CC378" s="74"/>
      <c r="CD378" s="74"/>
      <c r="CE378" s="74"/>
      <c r="CF378" s="74"/>
      <c r="CG378" s="74"/>
      <c r="CH378" s="74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</row>
    <row r="379" spans="2:148" s="75" customFormat="1" ht="15.75" customHeight="1">
      <c r="B379" s="76"/>
      <c r="C379" s="224" t="s">
        <v>124</v>
      </c>
      <c r="D379" s="224"/>
      <c r="E379" s="77"/>
      <c r="F379" s="225" t="s">
        <v>125</v>
      </c>
      <c r="G379" s="225"/>
      <c r="H379" s="78"/>
      <c r="I379" s="77"/>
      <c r="J379" s="224" t="s">
        <v>126</v>
      </c>
      <c r="K379" s="224"/>
      <c r="L379" s="79"/>
      <c r="M379" s="79"/>
      <c r="N379" s="79"/>
      <c r="O379" s="79"/>
      <c r="P379" s="80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  <c r="DK379" s="81"/>
      <c r="DL379" s="81"/>
      <c r="DM379" s="81"/>
      <c r="DN379" s="81"/>
      <c r="DO379" s="81"/>
      <c r="DP379" s="81"/>
      <c r="DQ379" s="81"/>
      <c r="DR379" s="81"/>
      <c r="DS379" s="81"/>
      <c r="DT379" s="81"/>
      <c r="DU379" s="81"/>
      <c r="DV379" s="81"/>
      <c r="DW379" s="81"/>
      <c r="DX379" s="81"/>
      <c r="DY379" s="81"/>
      <c r="DZ379" s="81"/>
      <c r="EA379" s="81"/>
      <c r="EB379" s="81"/>
      <c r="EC379" s="81"/>
      <c r="ED379" s="81"/>
      <c r="EE379" s="81"/>
      <c r="EF379" s="81"/>
      <c r="EG379" s="81"/>
      <c r="EH379" s="81"/>
      <c r="EI379" s="81"/>
      <c r="EJ379" s="81"/>
      <c r="EK379" s="81"/>
      <c r="EL379" s="81"/>
      <c r="EM379" s="81"/>
      <c r="EN379" s="81"/>
      <c r="EO379" s="81"/>
      <c r="EP379" s="81"/>
      <c r="EQ379" s="81"/>
      <c r="ER379" s="81"/>
    </row>
    <row r="380" spans="2:16" ht="40.5" customHeight="1">
      <c r="B380" s="64"/>
      <c r="C380" s="226">
        <f>IF(M3="","",IF(INDEX(участники!$A$102:$M$962,$M$3+18-100,2)="","",INDEX(участники!$A$102:$M$962,$M$3+18-100,2)))</f>
      </c>
      <c r="D380" s="226"/>
      <c r="E380" s="226"/>
      <c r="F380" s="226"/>
      <c r="G380" s="226"/>
      <c r="H380" s="226"/>
      <c r="I380" s="82"/>
      <c r="J380" s="227">
        <f>IF(M3="","",IF(INDEX(участники!$A$102:$M$962,$M$3+18-100,4)="","",INDEX(участники!$A$102:$M$962,$M$3+18-100,4)))</f>
      </c>
      <c r="K380" s="227"/>
      <c r="L380" s="83"/>
      <c r="M380" s="131">
        <f>IF(M3="","",IF(INDEX(участники!$A$102:$M$962,$M$3+18-100,5)="","",INDEX(участники!$A$102:$M$962,$M$3+18-100,5)))</f>
      </c>
      <c r="N380" s="65"/>
      <c r="O380" s="65"/>
      <c r="P380" s="67"/>
    </row>
    <row r="381" spans="2:148" s="84" customFormat="1" ht="12.75" customHeight="1">
      <c r="B381" s="85"/>
      <c r="C381" s="86" t="s">
        <v>127</v>
      </c>
      <c r="D381" s="86"/>
      <c r="E381" s="86"/>
      <c r="F381" s="86"/>
      <c r="G381" s="86"/>
      <c r="H381" s="86"/>
      <c r="I381" s="86"/>
      <c r="J381" s="228" t="s">
        <v>128</v>
      </c>
      <c r="K381" s="228"/>
      <c r="L381" s="86"/>
      <c r="M381" s="88" t="s">
        <v>129</v>
      </c>
      <c r="N381" s="86"/>
      <c r="O381" s="86"/>
      <c r="P381" s="89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  <c r="BZ381" s="90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90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0"/>
      <c r="CX381" s="90"/>
      <c r="CY381" s="90"/>
      <c r="CZ381" s="90"/>
      <c r="DA381" s="90"/>
      <c r="DB381" s="90"/>
      <c r="DC381" s="90"/>
      <c r="DD381" s="90"/>
      <c r="DE381" s="90"/>
      <c r="DF381" s="90"/>
      <c r="DG381" s="90"/>
      <c r="DH381" s="90"/>
      <c r="DI381" s="90"/>
      <c r="DJ381" s="90"/>
      <c r="DK381" s="90"/>
      <c r="DL381" s="90"/>
      <c r="DM381" s="90"/>
      <c r="DN381" s="90"/>
      <c r="DO381" s="90"/>
      <c r="DP381" s="90"/>
      <c r="DQ381" s="90"/>
      <c r="DR381" s="90"/>
      <c r="DS381" s="90"/>
      <c r="DT381" s="90"/>
      <c r="DU381" s="90"/>
      <c r="DV381" s="90"/>
      <c r="DW381" s="90"/>
      <c r="DX381" s="90"/>
      <c r="DY381" s="90"/>
      <c r="DZ381" s="90"/>
      <c r="EA381" s="90"/>
      <c r="EB381" s="90"/>
      <c r="EC381" s="90"/>
      <c r="ED381" s="90"/>
      <c r="EE381" s="90"/>
      <c r="EF381" s="90"/>
      <c r="EG381" s="90"/>
      <c r="EH381" s="90"/>
      <c r="EI381" s="90"/>
      <c r="EJ381" s="90"/>
      <c r="EK381" s="90"/>
      <c r="EL381" s="90"/>
      <c r="EM381" s="90"/>
      <c r="EN381" s="90"/>
      <c r="EO381" s="90"/>
      <c r="EP381" s="90"/>
      <c r="EQ381" s="90"/>
      <c r="ER381" s="90"/>
    </row>
    <row r="382" spans="2:148" s="91" customFormat="1" ht="35.25" customHeight="1">
      <c r="B382" s="92"/>
      <c r="C382" s="229">
        <f>IF(M3="","",IF(INDEX(участники!$A$102:$M$962,$M$3+18-100,6)="","",INDEX(участники!$A$102:$M$962,$M$3+18-100,6)))</f>
      </c>
      <c r="D382" s="220"/>
      <c r="E382" s="220"/>
      <c r="F382" s="220"/>
      <c r="G382" s="93"/>
      <c r="H382" s="216">
        <f>IF(M3="","",IF(INDEX(участники!$A$102:$M$962,$M$3+18-100,8)="","",INDEX(участники!$A$102:$M$962,$M$3+18-100,8)))</f>
      </c>
      <c r="I382" s="216"/>
      <c r="J382" s="216"/>
      <c r="K382" s="94"/>
      <c r="L382" s="221"/>
      <c r="M382" s="221"/>
      <c r="N382" s="221"/>
      <c r="O382" s="94"/>
      <c r="P382" s="95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  <c r="AH382" s="96"/>
      <c r="AI382" s="96"/>
      <c r="AJ382" s="96"/>
      <c r="AK382" s="96"/>
      <c r="AL382" s="96"/>
      <c r="AM382" s="96"/>
      <c r="AN382" s="96"/>
      <c r="AO382" s="96"/>
      <c r="AP382" s="96"/>
      <c r="AQ382" s="96"/>
      <c r="AR382" s="96"/>
      <c r="AS382" s="96"/>
      <c r="AT382" s="96"/>
      <c r="AU382" s="96"/>
      <c r="AV382" s="96"/>
      <c r="AW382" s="96"/>
      <c r="AX382" s="96"/>
      <c r="AY382" s="96"/>
      <c r="AZ382" s="96"/>
      <c r="BA382" s="96"/>
      <c r="BB382" s="96"/>
      <c r="BC382" s="96"/>
      <c r="BD382" s="96"/>
      <c r="BE382" s="96"/>
      <c r="BF382" s="96"/>
      <c r="BG382" s="96"/>
      <c r="BH382" s="96"/>
      <c r="BI382" s="96"/>
      <c r="BJ382" s="96"/>
      <c r="BK382" s="96"/>
      <c r="BL382" s="96"/>
      <c r="BM382" s="96"/>
      <c r="BN382" s="96"/>
      <c r="BO382" s="96"/>
      <c r="BP382" s="96"/>
      <c r="BQ382" s="96"/>
      <c r="BR382" s="96"/>
      <c r="BS382" s="96"/>
      <c r="BT382" s="96"/>
      <c r="BU382" s="96"/>
      <c r="BV382" s="96"/>
      <c r="BW382" s="96"/>
      <c r="BX382" s="96"/>
      <c r="BY382" s="96"/>
      <c r="BZ382" s="96"/>
      <c r="CA382" s="96"/>
      <c r="CB382" s="96"/>
      <c r="CC382" s="96"/>
      <c r="CD382" s="96"/>
      <c r="CE382" s="96"/>
      <c r="CF382" s="96"/>
      <c r="CG382" s="96"/>
      <c r="CH382" s="96"/>
      <c r="CI382" s="96"/>
      <c r="CJ382" s="96"/>
      <c r="CK382" s="96"/>
      <c r="CL382" s="96"/>
      <c r="CM382" s="96"/>
      <c r="CN382" s="96"/>
      <c r="CO382" s="96"/>
      <c r="CP382" s="96"/>
      <c r="CQ382" s="96"/>
      <c r="CR382" s="96"/>
      <c r="CS382" s="96"/>
      <c r="CT382" s="96"/>
      <c r="CU382" s="96"/>
      <c r="CV382" s="96"/>
      <c r="CW382" s="96"/>
      <c r="CX382" s="96"/>
      <c r="CY382" s="96"/>
      <c r="CZ382" s="96"/>
      <c r="DA382" s="96"/>
      <c r="DB382" s="96"/>
      <c r="DC382" s="96"/>
      <c r="DD382" s="96"/>
      <c r="DE382" s="96"/>
      <c r="DF382" s="96"/>
      <c r="DG382" s="96"/>
      <c r="DH382" s="96"/>
      <c r="DI382" s="96"/>
      <c r="DJ382" s="96"/>
      <c r="DK382" s="96"/>
      <c r="DL382" s="96"/>
      <c r="DM382" s="96"/>
      <c r="DN382" s="96"/>
      <c r="DO382" s="96"/>
      <c r="DP382" s="96"/>
      <c r="DQ382" s="96"/>
      <c r="DR382" s="96"/>
      <c r="DS382" s="96"/>
      <c r="DT382" s="96"/>
      <c r="DU382" s="96"/>
      <c r="DV382" s="96"/>
      <c r="DW382" s="96"/>
      <c r="DX382" s="96"/>
      <c r="DY382" s="96"/>
      <c r="DZ382" s="96"/>
      <c r="EA382" s="96"/>
      <c r="EB382" s="96"/>
      <c r="EC382" s="96"/>
      <c r="ED382" s="96"/>
      <c r="EE382" s="96"/>
      <c r="EF382" s="96"/>
      <c r="EG382" s="96"/>
      <c r="EH382" s="96"/>
      <c r="EI382" s="96"/>
      <c r="EJ382" s="96"/>
      <c r="EK382" s="96"/>
      <c r="EL382" s="96"/>
      <c r="EM382" s="96"/>
      <c r="EN382" s="96"/>
      <c r="EO382" s="96"/>
      <c r="EP382" s="96"/>
      <c r="EQ382" s="96"/>
      <c r="ER382" s="96"/>
    </row>
    <row r="383" spans="2:148" s="84" customFormat="1" ht="11.25" customHeight="1">
      <c r="B383" s="85"/>
      <c r="C383" s="86" t="s">
        <v>130</v>
      </c>
      <c r="D383" s="86"/>
      <c r="E383" s="86"/>
      <c r="F383" s="86"/>
      <c r="G383" s="97"/>
      <c r="H383" s="217" t="s">
        <v>131</v>
      </c>
      <c r="I383" s="217"/>
      <c r="J383" s="217"/>
      <c r="K383" s="86"/>
      <c r="L383" s="218"/>
      <c r="M383" s="218"/>
      <c r="N383" s="218"/>
      <c r="O383" s="86"/>
      <c r="P383" s="89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0"/>
      <c r="CX383" s="90"/>
      <c r="CY383" s="90"/>
      <c r="CZ383" s="90"/>
      <c r="DA383" s="90"/>
      <c r="DB383" s="90"/>
      <c r="DC383" s="90"/>
      <c r="DD383" s="90"/>
      <c r="DE383" s="90"/>
      <c r="DF383" s="90"/>
      <c r="DG383" s="90"/>
      <c r="DH383" s="90"/>
      <c r="DI383" s="90"/>
      <c r="DJ383" s="90"/>
      <c r="DK383" s="90"/>
      <c r="DL383" s="90"/>
      <c r="DM383" s="90"/>
      <c r="DN383" s="90"/>
      <c r="DO383" s="90"/>
      <c r="DP383" s="90"/>
      <c r="DQ383" s="90"/>
      <c r="DR383" s="90"/>
      <c r="DS383" s="90"/>
      <c r="DT383" s="90"/>
      <c r="DU383" s="90"/>
      <c r="DV383" s="90"/>
      <c r="DW383" s="90"/>
      <c r="DX383" s="90"/>
      <c r="DY383" s="90"/>
      <c r="DZ383" s="90"/>
      <c r="EA383" s="90"/>
      <c r="EB383" s="90"/>
      <c r="EC383" s="90"/>
      <c r="ED383" s="90"/>
      <c r="EE383" s="90"/>
      <c r="EF383" s="90"/>
      <c r="EG383" s="90"/>
      <c r="EH383" s="90"/>
      <c r="EI383" s="90"/>
      <c r="EJ383" s="90"/>
      <c r="EK383" s="90"/>
      <c r="EL383" s="90"/>
      <c r="EM383" s="90"/>
      <c r="EN383" s="90"/>
      <c r="EO383" s="90"/>
      <c r="EP383" s="90"/>
      <c r="EQ383" s="90"/>
      <c r="ER383" s="90"/>
    </row>
    <row r="384" spans="2:148" s="91" customFormat="1" ht="24" customHeight="1">
      <c r="B384" s="92"/>
      <c r="C384" s="219">
        <f>IF(M3="","",IF(INDEX(участники!$A$102:$M$962,$M$3+18-100,7)="","",INDEX(участники!$A$102:$M$962,$M$3+18-100,7)))</f>
      </c>
      <c r="D384" s="220"/>
      <c r="E384" s="220"/>
      <c r="F384" s="220"/>
      <c r="G384" s="93"/>
      <c r="H384" s="216">
        <f>IF(M3="","",IF(INDEX(участники!$A$102:$M$962,$M$3+18-100,9)="","",INDEX(участники!$A$102:$M$962,$M$3+18-100,9)))</f>
      </c>
      <c r="I384" s="216"/>
      <c r="J384" s="216"/>
      <c r="K384" s="216"/>
      <c r="L384" s="216"/>
      <c r="M384" s="216"/>
      <c r="N384" s="216"/>
      <c r="O384" s="94"/>
      <c r="P384" s="95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  <c r="AH384" s="96"/>
      <c r="AI384" s="96"/>
      <c r="AJ384" s="96"/>
      <c r="AK384" s="96"/>
      <c r="AL384" s="96"/>
      <c r="AM384" s="96"/>
      <c r="AN384" s="96"/>
      <c r="AO384" s="96"/>
      <c r="AP384" s="96"/>
      <c r="AQ384" s="96"/>
      <c r="AR384" s="96"/>
      <c r="AS384" s="96"/>
      <c r="AT384" s="96"/>
      <c r="AU384" s="96"/>
      <c r="AV384" s="96"/>
      <c r="AW384" s="96"/>
      <c r="AX384" s="96"/>
      <c r="AY384" s="96"/>
      <c r="AZ384" s="96"/>
      <c r="BA384" s="96"/>
      <c r="BB384" s="96"/>
      <c r="BC384" s="96"/>
      <c r="BD384" s="96"/>
      <c r="BE384" s="96"/>
      <c r="BF384" s="96"/>
      <c r="BG384" s="96"/>
      <c r="BH384" s="96"/>
      <c r="BI384" s="96"/>
      <c r="BJ384" s="96"/>
      <c r="BK384" s="96"/>
      <c r="BL384" s="96"/>
      <c r="BM384" s="96"/>
      <c r="BN384" s="96"/>
      <c r="BO384" s="96"/>
      <c r="BP384" s="96"/>
      <c r="BQ384" s="96"/>
      <c r="BR384" s="96"/>
      <c r="BS384" s="96"/>
      <c r="BT384" s="96"/>
      <c r="BU384" s="96"/>
      <c r="BV384" s="96"/>
      <c r="BW384" s="96"/>
      <c r="BX384" s="96"/>
      <c r="BY384" s="96"/>
      <c r="BZ384" s="96"/>
      <c r="CA384" s="96"/>
      <c r="CB384" s="96"/>
      <c r="CC384" s="96"/>
      <c r="CD384" s="96"/>
      <c r="CE384" s="96"/>
      <c r="CF384" s="96"/>
      <c r="CG384" s="96"/>
      <c r="CH384" s="96"/>
      <c r="CI384" s="96"/>
      <c r="CJ384" s="96"/>
      <c r="CK384" s="96"/>
      <c r="CL384" s="96"/>
      <c r="CM384" s="96"/>
      <c r="CN384" s="96"/>
      <c r="CO384" s="96"/>
      <c r="CP384" s="96"/>
      <c r="CQ384" s="96"/>
      <c r="CR384" s="96"/>
      <c r="CS384" s="96"/>
      <c r="CT384" s="96"/>
      <c r="CU384" s="96"/>
      <c r="CV384" s="96"/>
      <c r="CW384" s="96"/>
      <c r="CX384" s="96"/>
      <c r="CY384" s="96"/>
      <c r="CZ384" s="96"/>
      <c r="DA384" s="96"/>
      <c r="DB384" s="96"/>
      <c r="DC384" s="96"/>
      <c r="DD384" s="96"/>
      <c r="DE384" s="96"/>
      <c r="DF384" s="96"/>
      <c r="DG384" s="96"/>
      <c r="DH384" s="96"/>
      <c r="DI384" s="96"/>
      <c r="DJ384" s="96"/>
      <c r="DK384" s="96"/>
      <c r="DL384" s="96"/>
      <c r="DM384" s="96"/>
      <c r="DN384" s="96"/>
      <c r="DO384" s="96"/>
      <c r="DP384" s="96"/>
      <c r="DQ384" s="96"/>
      <c r="DR384" s="96"/>
      <c r="DS384" s="96"/>
      <c r="DT384" s="96"/>
      <c r="DU384" s="96"/>
      <c r="DV384" s="96"/>
      <c r="DW384" s="96"/>
      <c r="DX384" s="96"/>
      <c r="DY384" s="96"/>
      <c r="DZ384" s="96"/>
      <c r="EA384" s="96"/>
      <c r="EB384" s="96"/>
      <c r="EC384" s="96"/>
      <c r="ED384" s="96"/>
      <c r="EE384" s="96"/>
      <c r="EF384" s="96"/>
      <c r="EG384" s="96"/>
      <c r="EH384" s="96"/>
      <c r="EI384" s="96"/>
      <c r="EJ384" s="96"/>
      <c r="EK384" s="96"/>
      <c r="EL384" s="96"/>
      <c r="EM384" s="96"/>
      <c r="EN384" s="96"/>
      <c r="EO384" s="96"/>
      <c r="EP384" s="96"/>
      <c r="EQ384" s="96"/>
      <c r="ER384" s="96"/>
    </row>
    <row r="385" spans="2:148" s="84" customFormat="1" ht="9.75" customHeight="1">
      <c r="B385" s="85"/>
      <c r="C385" s="86" t="s">
        <v>132</v>
      </c>
      <c r="D385" s="86"/>
      <c r="E385" s="86"/>
      <c r="F385" s="86"/>
      <c r="G385" s="86"/>
      <c r="H385" s="217" t="s">
        <v>133</v>
      </c>
      <c r="I385" s="217"/>
      <c r="J385" s="217"/>
      <c r="K385" s="217"/>
      <c r="L385" s="217"/>
      <c r="M385" s="217"/>
      <c r="N385" s="86"/>
      <c r="O385" s="86"/>
      <c r="P385" s="89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/>
      <c r="CO385" s="90"/>
      <c r="CP385" s="90"/>
      <c r="CQ385" s="90"/>
      <c r="CR385" s="90"/>
      <c r="CS385" s="90"/>
      <c r="CT385" s="90"/>
      <c r="CU385" s="90"/>
      <c r="CV385" s="90"/>
      <c r="CW385" s="90"/>
      <c r="CX385" s="90"/>
      <c r="CY385" s="90"/>
      <c r="CZ385" s="90"/>
      <c r="DA385" s="90"/>
      <c r="DB385" s="90"/>
      <c r="DC385" s="90"/>
      <c r="DD385" s="90"/>
      <c r="DE385" s="90"/>
      <c r="DF385" s="90"/>
      <c r="DG385" s="90"/>
      <c r="DH385" s="90"/>
      <c r="DI385" s="90"/>
      <c r="DJ385" s="90"/>
      <c r="DK385" s="90"/>
      <c r="DL385" s="90"/>
      <c r="DM385" s="90"/>
      <c r="DN385" s="90"/>
      <c r="DO385" s="90"/>
      <c r="DP385" s="90"/>
      <c r="DQ385" s="90"/>
      <c r="DR385" s="90"/>
      <c r="DS385" s="90"/>
      <c r="DT385" s="90"/>
      <c r="DU385" s="90"/>
      <c r="DV385" s="90"/>
      <c r="DW385" s="90"/>
      <c r="DX385" s="90"/>
      <c r="DY385" s="90"/>
      <c r="DZ385" s="90"/>
      <c r="EA385" s="90"/>
      <c r="EB385" s="90"/>
      <c r="EC385" s="90"/>
      <c r="ED385" s="90"/>
      <c r="EE385" s="90"/>
      <c r="EF385" s="90"/>
      <c r="EG385" s="90"/>
      <c r="EH385" s="90"/>
      <c r="EI385" s="90"/>
      <c r="EJ385" s="90"/>
      <c r="EK385" s="90"/>
      <c r="EL385" s="90"/>
      <c r="EM385" s="90"/>
      <c r="EN385" s="90"/>
      <c r="EO385" s="90"/>
      <c r="EP385" s="90"/>
      <c r="EQ385" s="90"/>
      <c r="ER385" s="90"/>
    </row>
    <row r="386" spans="2:148" s="84" customFormat="1" ht="9.75" customHeight="1">
      <c r="B386" s="85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9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/>
      <c r="CO386" s="90"/>
      <c r="CP386" s="90"/>
      <c r="CQ386" s="90"/>
      <c r="CR386" s="90"/>
      <c r="CS386" s="90"/>
      <c r="CT386" s="90"/>
      <c r="CU386" s="90"/>
      <c r="CV386" s="90"/>
      <c r="CW386" s="90"/>
      <c r="CX386" s="90"/>
      <c r="CY386" s="90"/>
      <c r="CZ386" s="90"/>
      <c r="DA386" s="90"/>
      <c r="DB386" s="90"/>
      <c r="DC386" s="90"/>
      <c r="DD386" s="90"/>
      <c r="DE386" s="90"/>
      <c r="DF386" s="90"/>
      <c r="DG386" s="90"/>
      <c r="DH386" s="90"/>
      <c r="DI386" s="90"/>
      <c r="DJ386" s="90"/>
      <c r="DK386" s="90"/>
      <c r="DL386" s="90"/>
      <c r="DM386" s="90"/>
      <c r="DN386" s="90"/>
      <c r="DO386" s="90"/>
      <c r="DP386" s="90"/>
      <c r="DQ386" s="90"/>
      <c r="DR386" s="90"/>
      <c r="DS386" s="90"/>
      <c r="DT386" s="90"/>
      <c r="DU386" s="90"/>
      <c r="DV386" s="90"/>
      <c r="DW386" s="90"/>
      <c r="DX386" s="90"/>
      <c r="DY386" s="90"/>
      <c r="DZ386" s="90"/>
      <c r="EA386" s="90"/>
      <c r="EB386" s="90"/>
      <c r="EC386" s="90"/>
      <c r="ED386" s="90"/>
      <c r="EE386" s="90"/>
      <c r="EF386" s="90"/>
      <c r="EG386" s="90"/>
      <c r="EH386" s="90"/>
      <c r="EI386" s="90"/>
      <c r="EJ386" s="90"/>
      <c r="EK386" s="90"/>
      <c r="EL386" s="90"/>
      <c r="EM386" s="90"/>
      <c r="EN386" s="90"/>
      <c r="EO386" s="90"/>
      <c r="EP386" s="90"/>
      <c r="EQ386" s="90"/>
      <c r="ER386" s="90"/>
    </row>
    <row r="387" spans="2:16" ht="26.25" customHeight="1">
      <c r="B387" s="64"/>
      <c r="C387" s="214">
        <f>IF(M3="","",IF(INDEX(участники!$A$102:$M$962,$M$3+18-100,10)="","",INDEX(участники!$A$102:$M$962,$M$3+18-100,10)))</f>
      </c>
      <c r="D387" s="215"/>
      <c r="E387" s="215"/>
      <c r="F387" s="215"/>
      <c r="G387" s="215"/>
      <c r="H387" s="215"/>
      <c r="I387" s="215"/>
      <c r="J387" s="215"/>
      <c r="K387" s="65"/>
      <c r="L387" s="132">
        <f>IF(M3="","",IF(INDEX(участники!$A$102:$M$962,$M$3+18-100,11)="","",INDEX(участники!$A$102:$M$962,$M$3+18-100,11)))</f>
      </c>
      <c r="M387" s="98"/>
      <c r="N387" s="132">
        <f>IF(M3="","",IF(INDEX(участники!$A$102:$M$962,$M$3+18-100,12)="","",INDEX(участники!$A$102:$M$962,$M$3+18-100,12)))</f>
      </c>
      <c r="O387" s="65"/>
      <c r="P387" s="67"/>
    </row>
    <row r="388" spans="2:148" s="84" customFormat="1" ht="14.25" customHeight="1">
      <c r="B388" s="85"/>
      <c r="C388" s="86" t="s">
        <v>134</v>
      </c>
      <c r="D388" s="86"/>
      <c r="E388" s="86"/>
      <c r="F388" s="86"/>
      <c r="G388" s="86"/>
      <c r="H388" s="86"/>
      <c r="I388" s="86"/>
      <c r="J388" s="218"/>
      <c r="K388" s="218"/>
      <c r="L388" s="87" t="s">
        <v>135</v>
      </c>
      <c r="M388" s="99"/>
      <c r="N388" s="133" t="s">
        <v>136</v>
      </c>
      <c r="O388" s="86"/>
      <c r="P388" s="89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/>
      <c r="CO388" s="90"/>
      <c r="CP388" s="90"/>
      <c r="CQ388" s="90"/>
      <c r="CR388" s="90"/>
      <c r="CS388" s="90"/>
      <c r="CT388" s="90"/>
      <c r="CU388" s="90"/>
      <c r="CV388" s="90"/>
      <c r="CW388" s="90"/>
      <c r="CX388" s="90"/>
      <c r="CY388" s="90"/>
      <c r="CZ388" s="90"/>
      <c r="DA388" s="90"/>
      <c r="DB388" s="90"/>
      <c r="DC388" s="90"/>
      <c r="DD388" s="90"/>
      <c r="DE388" s="90"/>
      <c r="DF388" s="90"/>
      <c r="DG388" s="90"/>
      <c r="DH388" s="90"/>
      <c r="DI388" s="90"/>
      <c r="DJ388" s="90"/>
      <c r="DK388" s="90"/>
      <c r="DL388" s="90"/>
      <c r="DM388" s="90"/>
      <c r="DN388" s="90"/>
      <c r="DO388" s="90"/>
      <c r="DP388" s="90"/>
      <c r="DQ388" s="90"/>
      <c r="DR388" s="90"/>
      <c r="DS388" s="90"/>
      <c r="DT388" s="90"/>
      <c r="DU388" s="90"/>
      <c r="DV388" s="90"/>
      <c r="DW388" s="90"/>
      <c r="DX388" s="90"/>
      <c r="DY388" s="90"/>
      <c r="DZ388" s="90"/>
      <c r="EA388" s="90"/>
      <c r="EB388" s="90"/>
      <c r="EC388" s="90"/>
      <c r="ED388" s="90"/>
      <c r="EE388" s="90"/>
      <c r="EF388" s="90"/>
      <c r="EG388" s="90"/>
      <c r="EH388" s="90"/>
      <c r="EI388" s="90"/>
      <c r="EJ388" s="90"/>
      <c r="EK388" s="90"/>
      <c r="EL388" s="90"/>
      <c r="EM388" s="90"/>
      <c r="EN388" s="90"/>
      <c r="EO388" s="90"/>
      <c r="EP388" s="90"/>
      <c r="EQ388" s="90"/>
      <c r="ER388" s="90"/>
    </row>
    <row r="389" spans="2:148" s="84" customFormat="1" ht="24.75" customHeight="1">
      <c r="B389" s="85"/>
      <c r="C389" s="86"/>
      <c r="D389" s="86"/>
      <c r="E389" s="86"/>
      <c r="F389" s="86"/>
      <c r="G389" s="86"/>
      <c r="H389" s="86"/>
      <c r="I389" s="86"/>
      <c r="J389" s="88"/>
      <c r="K389" s="88"/>
      <c r="L389" s="86"/>
      <c r="M389" s="88"/>
      <c r="N389" s="88"/>
      <c r="O389" s="86"/>
      <c r="P389" s="89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  <c r="BG389" s="90"/>
      <c r="BH389" s="90"/>
      <c r="BI389" s="90"/>
      <c r="BJ389" s="90"/>
      <c r="BK389" s="90"/>
      <c r="BL389" s="90"/>
      <c r="BM389" s="90"/>
      <c r="BN389" s="90"/>
      <c r="BO389" s="90"/>
      <c r="BP389" s="90"/>
      <c r="BQ389" s="90"/>
      <c r="BR389" s="90"/>
      <c r="BS389" s="90"/>
      <c r="BT389" s="90"/>
      <c r="BU389" s="90"/>
      <c r="BV389" s="90"/>
      <c r="BW389" s="90"/>
      <c r="BX389" s="90"/>
      <c r="BY389" s="90"/>
      <c r="BZ389" s="90"/>
      <c r="CA389" s="90"/>
      <c r="CB389" s="90"/>
      <c r="CC389" s="90"/>
      <c r="CD389" s="90"/>
      <c r="CE389" s="90"/>
      <c r="CF389" s="90"/>
      <c r="CG389" s="90"/>
      <c r="CH389" s="90"/>
      <c r="CI389" s="90"/>
      <c r="CJ389" s="90"/>
      <c r="CK389" s="90"/>
      <c r="CL389" s="90"/>
      <c r="CM389" s="90"/>
      <c r="CN389" s="90"/>
      <c r="CO389" s="90"/>
      <c r="CP389" s="90"/>
      <c r="CQ389" s="90"/>
      <c r="CR389" s="90"/>
      <c r="CS389" s="90"/>
      <c r="CT389" s="90"/>
      <c r="CU389" s="90"/>
      <c r="CV389" s="90"/>
      <c r="CW389" s="90"/>
      <c r="CX389" s="90"/>
      <c r="CY389" s="90"/>
      <c r="CZ389" s="90"/>
      <c r="DA389" s="90"/>
      <c r="DB389" s="90"/>
      <c r="DC389" s="90"/>
      <c r="DD389" s="90"/>
      <c r="DE389" s="90"/>
      <c r="DF389" s="90"/>
      <c r="DG389" s="90"/>
      <c r="DH389" s="90"/>
      <c r="DI389" s="90"/>
      <c r="DJ389" s="90"/>
      <c r="DK389" s="90"/>
      <c r="DL389" s="90"/>
      <c r="DM389" s="90"/>
      <c r="DN389" s="90"/>
      <c r="DO389" s="90"/>
      <c r="DP389" s="90"/>
      <c r="DQ389" s="90"/>
      <c r="DR389" s="90"/>
      <c r="DS389" s="90"/>
      <c r="DT389" s="90"/>
      <c r="DU389" s="90"/>
      <c r="DV389" s="90"/>
      <c r="DW389" s="90"/>
      <c r="DX389" s="90"/>
      <c r="DY389" s="90"/>
      <c r="DZ389" s="90"/>
      <c r="EA389" s="90"/>
      <c r="EB389" s="90"/>
      <c r="EC389" s="90"/>
      <c r="ED389" s="90"/>
      <c r="EE389" s="90"/>
      <c r="EF389" s="90"/>
      <c r="EG389" s="90"/>
      <c r="EH389" s="90"/>
      <c r="EI389" s="90"/>
      <c r="EJ389" s="90"/>
      <c r="EK389" s="90"/>
      <c r="EL389" s="90"/>
      <c r="EM389" s="90"/>
      <c r="EN389" s="90"/>
      <c r="EO389" s="90"/>
      <c r="EP389" s="90"/>
      <c r="EQ389" s="90"/>
      <c r="ER389" s="90"/>
    </row>
    <row r="390" spans="2:148" s="84" customFormat="1" ht="17.25" customHeight="1">
      <c r="B390" s="85"/>
      <c r="C390" s="100" t="s">
        <v>137</v>
      </c>
      <c r="D390" s="101"/>
      <c r="E390" s="102"/>
      <c r="F390" s="103" t="s">
        <v>138</v>
      </c>
      <c r="G390" s="102"/>
      <c r="H390" s="102"/>
      <c r="I390" s="104"/>
      <c r="J390" s="222" t="s">
        <v>139</v>
      </c>
      <c r="K390" s="223"/>
      <c r="L390" s="105" t="s">
        <v>140</v>
      </c>
      <c r="M390" s="105" t="s">
        <v>141</v>
      </c>
      <c r="N390" s="105" t="s">
        <v>142</v>
      </c>
      <c r="O390" s="86"/>
      <c r="P390" s="89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0"/>
      <c r="BN390" s="90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0"/>
      <c r="BZ390" s="90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90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0"/>
      <c r="CX390" s="90"/>
      <c r="CY390" s="90"/>
      <c r="CZ390" s="90"/>
      <c r="DA390" s="90"/>
      <c r="DB390" s="90"/>
      <c r="DC390" s="90"/>
      <c r="DD390" s="90"/>
      <c r="DE390" s="90"/>
      <c r="DF390" s="90"/>
      <c r="DG390" s="90"/>
      <c r="DH390" s="90"/>
      <c r="DI390" s="90"/>
      <c r="DJ390" s="90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0"/>
      <c r="DV390" s="90"/>
      <c r="DW390" s="90"/>
      <c r="DX390" s="90"/>
      <c r="DY390" s="90"/>
      <c r="DZ390" s="90"/>
      <c r="EA390" s="90"/>
      <c r="EB390" s="90"/>
      <c r="EC390" s="90"/>
      <c r="ED390" s="90"/>
      <c r="EE390" s="90"/>
      <c r="EF390" s="90"/>
      <c r="EG390" s="90"/>
      <c r="EH390" s="90"/>
      <c r="EI390" s="90"/>
      <c r="EJ390" s="90"/>
      <c r="EK390" s="90"/>
      <c r="EL390" s="90"/>
      <c r="EM390" s="90"/>
      <c r="EN390" s="90"/>
      <c r="EO390" s="90"/>
      <c r="EP390" s="90"/>
      <c r="EQ390" s="90"/>
      <c r="ER390" s="90"/>
    </row>
    <row r="391" spans="2:148" s="84" customFormat="1" ht="24.75" customHeight="1">
      <c r="B391" s="85"/>
      <c r="C391" s="106" t="s">
        <v>143</v>
      </c>
      <c r="D391" s="107"/>
      <c r="E391" s="108"/>
      <c r="F391" s="108"/>
      <c r="G391" s="108"/>
      <c r="H391" s="108"/>
      <c r="I391" s="107"/>
      <c r="J391" s="109"/>
      <c r="K391" s="107"/>
      <c r="L391" s="110"/>
      <c r="M391" s="110"/>
      <c r="N391" s="110"/>
      <c r="O391" s="86"/>
      <c r="P391" s="89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0"/>
      <c r="BN391" s="90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0"/>
      <c r="BZ391" s="90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90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0"/>
      <c r="CX391" s="90"/>
      <c r="CY391" s="90"/>
      <c r="CZ391" s="90"/>
      <c r="DA391" s="90"/>
      <c r="DB391" s="90"/>
      <c r="DC391" s="90"/>
      <c r="DD391" s="90"/>
      <c r="DE391" s="90"/>
      <c r="DF391" s="90"/>
      <c r="DG391" s="90"/>
      <c r="DH391" s="90"/>
      <c r="DI391" s="90"/>
      <c r="DJ391" s="90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0"/>
      <c r="DV391" s="90"/>
      <c r="DW391" s="90"/>
      <c r="DX391" s="90"/>
      <c r="DY391" s="90"/>
      <c r="DZ391" s="90"/>
      <c r="EA391" s="90"/>
      <c r="EB391" s="90"/>
      <c r="EC391" s="90"/>
      <c r="ED391" s="90"/>
      <c r="EE391" s="90"/>
      <c r="EF391" s="90"/>
      <c r="EG391" s="90"/>
      <c r="EH391" s="90"/>
      <c r="EI391" s="90"/>
      <c r="EJ391" s="90"/>
      <c r="EK391" s="90"/>
      <c r="EL391" s="90"/>
      <c r="EM391" s="90"/>
      <c r="EN391" s="90"/>
      <c r="EO391" s="90"/>
      <c r="EP391" s="90"/>
      <c r="EQ391" s="90"/>
      <c r="ER391" s="90"/>
    </row>
    <row r="392" spans="2:148" s="84" customFormat="1" ht="24.75" customHeight="1">
      <c r="B392" s="85"/>
      <c r="C392" s="106" t="s">
        <v>144</v>
      </c>
      <c r="D392" s="107"/>
      <c r="E392" s="108"/>
      <c r="F392" s="108"/>
      <c r="G392" s="108"/>
      <c r="H392" s="108"/>
      <c r="I392" s="107"/>
      <c r="J392" s="109"/>
      <c r="K392" s="107"/>
      <c r="L392" s="110"/>
      <c r="M392" s="110"/>
      <c r="N392" s="110"/>
      <c r="O392" s="86"/>
      <c r="P392" s="89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  <c r="BG392" s="90"/>
      <c r="BH392" s="90"/>
      <c r="BI392" s="90"/>
      <c r="BJ392" s="90"/>
      <c r="BK392" s="90"/>
      <c r="BL392" s="90"/>
      <c r="BM392" s="90"/>
      <c r="BN392" s="90"/>
      <c r="BO392" s="90"/>
      <c r="BP392" s="90"/>
      <c r="BQ392" s="90"/>
      <c r="BR392" s="90"/>
      <c r="BS392" s="90"/>
      <c r="BT392" s="90"/>
      <c r="BU392" s="90"/>
      <c r="BV392" s="90"/>
      <c r="BW392" s="90"/>
      <c r="BX392" s="90"/>
      <c r="BY392" s="90"/>
      <c r="BZ392" s="90"/>
      <c r="CA392" s="90"/>
      <c r="CB392" s="90"/>
      <c r="CC392" s="90"/>
      <c r="CD392" s="90"/>
      <c r="CE392" s="90"/>
      <c r="CF392" s="90"/>
      <c r="CG392" s="90"/>
      <c r="CH392" s="90"/>
      <c r="CI392" s="90"/>
      <c r="CJ392" s="90"/>
      <c r="CK392" s="90"/>
      <c r="CL392" s="90"/>
      <c r="CM392" s="90"/>
      <c r="CN392" s="90"/>
      <c r="CO392" s="90"/>
      <c r="CP392" s="90"/>
      <c r="CQ392" s="90"/>
      <c r="CR392" s="90"/>
      <c r="CS392" s="90"/>
      <c r="CT392" s="90"/>
      <c r="CU392" s="90"/>
      <c r="CV392" s="90"/>
      <c r="CW392" s="90"/>
      <c r="CX392" s="90"/>
      <c r="CY392" s="90"/>
      <c r="CZ392" s="90"/>
      <c r="DA392" s="90"/>
      <c r="DB392" s="90"/>
      <c r="DC392" s="90"/>
      <c r="DD392" s="90"/>
      <c r="DE392" s="90"/>
      <c r="DF392" s="90"/>
      <c r="DG392" s="90"/>
      <c r="DH392" s="90"/>
      <c r="DI392" s="90"/>
      <c r="DJ392" s="90"/>
      <c r="DK392" s="90"/>
      <c r="DL392" s="90"/>
      <c r="DM392" s="90"/>
      <c r="DN392" s="90"/>
      <c r="DO392" s="90"/>
      <c r="DP392" s="90"/>
      <c r="DQ392" s="90"/>
      <c r="DR392" s="90"/>
      <c r="DS392" s="90"/>
      <c r="DT392" s="90"/>
      <c r="DU392" s="90"/>
      <c r="DV392" s="90"/>
      <c r="DW392" s="90"/>
      <c r="DX392" s="90"/>
      <c r="DY392" s="90"/>
      <c r="DZ392" s="90"/>
      <c r="EA392" s="90"/>
      <c r="EB392" s="90"/>
      <c r="EC392" s="90"/>
      <c r="ED392" s="90"/>
      <c r="EE392" s="90"/>
      <c r="EF392" s="90"/>
      <c r="EG392" s="90"/>
      <c r="EH392" s="90"/>
      <c r="EI392" s="90"/>
      <c r="EJ392" s="90"/>
      <c r="EK392" s="90"/>
      <c r="EL392" s="90"/>
      <c r="EM392" s="90"/>
      <c r="EN392" s="90"/>
      <c r="EO392" s="90"/>
      <c r="EP392" s="90"/>
      <c r="EQ392" s="90"/>
      <c r="ER392" s="90"/>
    </row>
    <row r="393" spans="2:148" s="84" customFormat="1" ht="24.75" customHeight="1">
      <c r="B393" s="85"/>
      <c r="C393" s="111" t="s">
        <v>145</v>
      </c>
      <c r="D393" s="112"/>
      <c r="E393" s="113"/>
      <c r="F393" s="113"/>
      <c r="G393" s="113"/>
      <c r="H393" s="113"/>
      <c r="I393" s="112"/>
      <c r="J393" s="114"/>
      <c r="K393" s="112"/>
      <c r="L393" s="110"/>
      <c r="M393" s="110"/>
      <c r="N393" s="110"/>
      <c r="O393" s="86"/>
      <c r="P393" s="89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  <c r="BG393" s="90"/>
      <c r="BH393" s="90"/>
      <c r="BI393" s="90"/>
      <c r="BJ393" s="90"/>
      <c r="BK393" s="90"/>
      <c r="BL393" s="90"/>
      <c r="BM393" s="90"/>
      <c r="BN393" s="90"/>
      <c r="BO393" s="90"/>
      <c r="BP393" s="90"/>
      <c r="BQ393" s="90"/>
      <c r="BR393" s="90"/>
      <c r="BS393" s="90"/>
      <c r="BT393" s="90"/>
      <c r="BU393" s="90"/>
      <c r="BV393" s="90"/>
      <c r="BW393" s="90"/>
      <c r="BX393" s="90"/>
      <c r="BY393" s="90"/>
      <c r="BZ393" s="90"/>
      <c r="CA393" s="90"/>
      <c r="CB393" s="90"/>
      <c r="CC393" s="90"/>
      <c r="CD393" s="90"/>
      <c r="CE393" s="90"/>
      <c r="CF393" s="90"/>
      <c r="CG393" s="90"/>
      <c r="CH393" s="90"/>
      <c r="CI393" s="90"/>
      <c r="CJ393" s="90"/>
      <c r="CK393" s="90"/>
      <c r="CL393" s="90"/>
      <c r="CM393" s="90"/>
      <c r="CN393" s="90"/>
      <c r="CO393" s="90"/>
      <c r="CP393" s="90"/>
      <c r="CQ393" s="90"/>
      <c r="CR393" s="90"/>
      <c r="CS393" s="90"/>
      <c r="CT393" s="90"/>
      <c r="CU393" s="90"/>
      <c r="CV393" s="90"/>
      <c r="CW393" s="90"/>
      <c r="CX393" s="90"/>
      <c r="CY393" s="90"/>
      <c r="CZ393" s="90"/>
      <c r="DA393" s="90"/>
      <c r="DB393" s="90"/>
      <c r="DC393" s="90"/>
      <c r="DD393" s="90"/>
      <c r="DE393" s="90"/>
      <c r="DF393" s="90"/>
      <c r="DG393" s="90"/>
      <c r="DH393" s="90"/>
      <c r="DI393" s="90"/>
      <c r="DJ393" s="90"/>
      <c r="DK393" s="90"/>
      <c r="DL393" s="90"/>
      <c r="DM393" s="90"/>
      <c r="DN393" s="90"/>
      <c r="DO393" s="90"/>
      <c r="DP393" s="90"/>
      <c r="DQ393" s="90"/>
      <c r="DR393" s="90"/>
      <c r="DS393" s="90"/>
      <c r="DT393" s="90"/>
      <c r="DU393" s="90"/>
      <c r="DV393" s="90"/>
      <c r="DW393" s="90"/>
      <c r="DX393" s="90"/>
      <c r="DY393" s="90"/>
      <c r="DZ393" s="90"/>
      <c r="EA393" s="90"/>
      <c r="EB393" s="90"/>
      <c r="EC393" s="90"/>
      <c r="ED393" s="90"/>
      <c r="EE393" s="90"/>
      <c r="EF393" s="90"/>
      <c r="EG393" s="90"/>
      <c r="EH393" s="90"/>
      <c r="EI393" s="90"/>
      <c r="EJ393" s="90"/>
      <c r="EK393" s="90"/>
      <c r="EL393" s="90"/>
      <c r="EM393" s="90"/>
      <c r="EN393" s="90"/>
      <c r="EO393" s="90"/>
      <c r="EP393" s="90"/>
      <c r="EQ393" s="90"/>
      <c r="ER393" s="90"/>
    </row>
    <row r="394" spans="2:16" ht="12" customHeight="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7"/>
    </row>
    <row r="396" ht="18.75" customHeight="1"/>
    <row r="398" spans="2:16" ht="3.75" customHeight="1">
      <c r="B398" s="61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3"/>
    </row>
    <row r="399" spans="2:16" ht="27.75" customHeight="1">
      <c r="B399" s="64"/>
      <c r="C399" s="65"/>
      <c r="D399" s="65"/>
      <c r="E399" s="65"/>
      <c r="F399" s="65"/>
      <c r="G399" s="66"/>
      <c r="H399" s="65"/>
      <c r="I399" s="65"/>
      <c r="J399" s="65"/>
      <c r="K399" s="65"/>
      <c r="L399" s="65"/>
      <c r="M399" s="134" t="s">
        <v>122</v>
      </c>
      <c r="N399" s="230"/>
      <c r="O399" s="231"/>
      <c r="P399" s="67"/>
    </row>
    <row r="400" spans="2:148" s="68" customFormat="1" ht="34.5" customHeight="1">
      <c r="B400" s="69"/>
      <c r="C400" s="232">
        <f>IF(M3="","",IF(INDEX(участники!$A$102:$M$963,$M$3+19-100,13)="","",INDEX(участники!$A$102:$M$963,$M$3+19-100,13)))</f>
      </c>
      <c r="D400" s="233"/>
      <c r="E400" s="70"/>
      <c r="F400" s="234"/>
      <c r="G400" s="235"/>
      <c r="H400" s="65"/>
      <c r="I400" s="71"/>
      <c r="J400" s="236">
        <f>IF(M3="","",IF(INDEX(участники!$A$102:$M$963,$M$3+19-100,1)="","",INDEX(участники!$A$102:$M$963,$M$3+19-100,1)))</f>
      </c>
      <c r="K400" s="237"/>
      <c r="L400" s="71"/>
      <c r="M400" s="134" t="s">
        <v>123</v>
      </c>
      <c r="N400" s="130" t="str">
        <f>IF(M3="","",CONCATENATE(IF(INDEX(участники!$A$102:$M$963,$M$3+19-100,3)="","",INDEX(участники!$A$102:$M$963,$M$3+19-100,3)),"  ",IF(INDEX(участники!$A$102:$M$963,$M$3+19-100,3)="","",INDEX(участники!$A$104:$M$963,$M$3+19-100,3))))</f>
        <v>  </v>
      </c>
      <c r="O400" s="72"/>
      <c r="P400" s="73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  <c r="BT400" s="74"/>
      <c r="BU400" s="74"/>
      <c r="BV400" s="74"/>
      <c r="BW400" s="74"/>
      <c r="BX400" s="74"/>
      <c r="BY400" s="74"/>
      <c r="BZ400" s="74"/>
      <c r="CA400" s="74"/>
      <c r="CB400" s="74"/>
      <c r="CC400" s="74"/>
      <c r="CD400" s="74"/>
      <c r="CE400" s="74"/>
      <c r="CF400" s="74"/>
      <c r="CG400" s="74"/>
      <c r="CH400" s="74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</row>
    <row r="401" spans="2:148" s="75" customFormat="1" ht="15.75" customHeight="1">
      <c r="B401" s="76"/>
      <c r="C401" s="224" t="s">
        <v>124</v>
      </c>
      <c r="D401" s="224"/>
      <c r="E401" s="77"/>
      <c r="F401" s="225" t="s">
        <v>125</v>
      </c>
      <c r="G401" s="225"/>
      <c r="H401" s="78"/>
      <c r="I401" s="77"/>
      <c r="J401" s="224" t="s">
        <v>126</v>
      </c>
      <c r="K401" s="224"/>
      <c r="L401" s="79"/>
      <c r="M401" s="79"/>
      <c r="N401" s="79"/>
      <c r="O401" s="79"/>
      <c r="P401" s="80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  <c r="DK401" s="81"/>
      <c r="DL401" s="81"/>
      <c r="DM401" s="81"/>
      <c r="DN401" s="81"/>
      <c r="DO401" s="81"/>
      <c r="DP401" s="81"/>
      <c r="DQ401" s="81"/>
      <c r="DR401" s="81"/>
      <c r="DS401" s="81"/>
      <c r="DT401" s="81"/>
      <c r="DU401" s="81"/>
      <c r="DV401" s="81"/>
      <c r="DW401" s="81"/>
      <c r="DX401" s="81"/>
      <c r="DY401" s="81"/>
      <c r="DZ401" s="81"/>
      <c r="EA401" s="81"/>
      <c r="EB401" s="81"/>
      <c r="EC401" s="81"/>
      <c r="ED401" s="81"/>
      <c r="EE401" s="81"/>
      <c r="EF401" s="81"/>
      <c r="EG401" s="81"/>
      <c r="EH401" s="81"/>
      <c r="EI401" s="81"/>
      <c r="EJ401" s="81"/>
      <c r="EK401" s="81"/>
      <c r="EL401" s="81"/>
      <c r="EM401" s="81"/>
      <c r="EN401" s="81"/>
      <c r="EO401" s="81"/>
      <c r="EP401" s="81"/>
      <c r="EQ401" s="81"/>
      <c r="ER401" s="81"/>
    </row>
    <row r="402" spans="2:16" ht="40.5" customHeight="1">
      <c r="B402" s="64"/>
      <c r="C402" s="226">
        <f>IF(M3="","",IF(INDEX(участники!$A$102:$M$962,$M$3+19-100,2)="","",INDEX(участники!$A$102:$M$962,$M$3+19-100,2)))</f>
      </c>
      <c r="D402" s="226"/>
      <c r="E402" s="226"/>
      <c r="F402" s="226"/>
      <c r="G402" s="226"/>
      <c r="H402" s="226"/>
      <c r="I402" s="82"/>
      <c r="J402" s="227">
        <f>IF(M3="","",IF(INDEX(участники!$A$102:$M$962,$M$3+19-100,4)="","",INDEX(участники!$A$102:$M$962,$M$3+19-100,4)))</f>
      </c>
      <c r="K402" s="227"/>
      <c r="L402" s="83"/>
      <c r="M402" s="131">
        <f>IF(M3="","",IF(INDEX(участники!$A$102:$M$962,$M$3+19-100,5)="","",INDEX(участники!$A$102:$M$962,$M$3+19-100,5)))</f>
      </c>
      <c r="N402" s="65"/>
      <c r="O402" s="65"/>
      <c r="P402" s="67"/>
    </row>
    <row r="403" spans="2:148" s="84" customFormat="1" ht="12.75" customHeight="1">
      <c r="B403" s="85"/>
      <c r="C403" s="86" t="s">
        <v>127</v>
      </c>
      <c r="D403" s="86"/>
      <c r="E403" s="86"/>
      <c r="F403" s="86"/>
      <c r="G403" s="86"/>
      <c r="H403" s="86"/>
      <c r="I403" s="86"/>
      <c r="J403" s="228" t="s">
        <v>128</v>
      </c>
      <c r="K403" s="228"/>
      <c r="L403" s="86"/>
      <c r="M403" s="88" t="s">
        <v>129</v>
      </c>
      <c r="N403" s="86"/>
      <c r="O403" s="86"/>
      <c r="P403" s="89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  <c r="BM403" s="90"/>
      <c r="BN403" s="90"/>
      <c r="BO403" s="90"/>
      <c r="BP403" s="90"/>
      <c r="BQ403" s="90"/>
      <c r="BR403" s="90"/>
      <c r="BS403" s="90"/>
      <c r="BT403" s="90"/>
      <c r="BU403" s="90"/>
      <c r="BV403" s="90"/>
      <c r="BW403" s="90"/>
      <c r="BX403" s="90"/>
      <c r="BY403" s="90"/>
      <c r="BZ403" s="90"/>
      <c r="CA403" s="90"/>
      <c r="CB403" s="90"/>
      <c r="CC403" s="90"/>
      <c r="CD403" s="90"/>
      <c r="CE403" s="90"/>
      <c r="CF403" s="90"/>
      <c r="CG403" s="90"/>
      <c r="CH403" s="90"/>
      <c r="CI403" s="90"/>
      <c r="CJ403" s="90"/>
      <c r="CK403" s="90"/>
      <c r="CL403" s="90"/>
      <c r="CM403" s="90"/>
      <c r="CN403" s="90"/>
      <c r="CO403" s="90"/>
      <c r="CP403" s="90"/>
      <c r="CQ403" s="90"/>
      <c r="CR403" s="90"/>
      <c r="CS403" s="90"/>
      <c r="CT403" s="90"/>
      <c r="CU403" s="90"/>
      <c r="CV403" s="90"/>
      <c r="CW403" s="90"/>
      <c r="CX403" s="90"/>
      <c r="CY403" s="90"/>
      <c r="CZ403" s="90"/>
      <c r="DA403" s="90"/>
      <c r="DB403" s="90"/>
      <c r="DC403" s="90"/>
      <c r="DD403" s="90"/>
      <c r="DE403" s="90"/>
      <c r="DF403" s="90"/>
      <c r="DG403" s="90"/>
      <c r="DH403" s="90"/>
      <c r="DI403" s="90"/>
      <c r="DJ403" s="90"/>
      <c r="DK403" s="90"/>
      <c r="DL403" s="90"/>
      <c r="DM403" s="90"/>
      <c r="DN403" s="90"/>
      <c r="DO403" s="90"/>
      <c r="DP403" s="90"/>
      <c r="DQ403" s="90"/>
      <c r="DR403" s="90"/>
      <c r="DS403" s="90"/>
      <c r="DT403" s="90"/>
      <c r="DU403" s="90"/>
      <c r="DV403" s="90"/>
      <c r="DW403" s="90"/>
      <c r="DX403" s="90"/>
      <c r="DY403" s="90"/>
      <c r="DZ403" s="90"/>
      <c r="EA403" s="90"/>
      <c r="EB403" s="90"/>
      <c r="EC403" s="90"/>
      <c r="ED403" s="90"/>
      <c r="EE403" s="90"/>
      <c r="EF403" s="90"/>
      <c r="EG403" s="90"/>
      <c r="EH403" s="90"/>
      <c r="EI403" s="90"/>
      <c r="EJ403" s="90"/>
      <c r="EK403" s="90"/>
      <c r="EL403" s="90"/>
      <c r="EM403" s="90"/>
      <c r="EN403" s="90"/>
      <c r="EO403" s="90"/>
      <c r="EP403" s="90"/>
      <c r="EQ403" s="90"/>
      <c r="ER403" s="90"/>
    </row>
    <row r="404" spans="2:148" s="91" customFormat="1" ht="35.25" customHeight="1">
      <c r="B404" s="92"/>
      <c r="C404" s="229">
        <f>IF(M3="","",IF(INDEX(участники!$A$102:$M$962,$M$3+19-100,6)="","",INDEX(участники!$A$102:$M$962,$M$3+19-100,6)))</f>
      </c>
      <c r="D404" s="220"/>
      <c r="E404" s="220"/>
      <c r="F404" s="220"/>
      <c r="G404" s="93"/>
      <c r="H404" s="216">
        <f>IF(M3="","",IF(INDEX(участники!$A$102:$M$962,$M$3+19-100,8)="","",INDEX(участники!$A$102:$M$962,$M$3+19-100,8)))</f>
      </c>
      <c r="I404" s="216"/>
      <c r="J404" s="216"/>
      <c r="K404" s="94"/>
      <c r="L404" s="221"/>
      <c r="M404" s="221"/>
      <c r="N404" s="221"/>
      <c r="O404" s="94"/>
      <c r="P404" s="95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  <c r="AC404" s="96"/>
      <c r="AD404" s="96"/>
      <c r="AE404" s="96"/>
      <c r="AF404" s="96"/>
      <c r="AG404" s="96"/>
      <c r="AH404" s="96"/>
      <c r="AI404" s="96"/>
      <c r="AJ404" s="96"/>
      <c r="AK404" s="96"/>
      <c r="AL404" s="96"/>
      <c r="AM404" s="96"/>
      <c r="AN404" s="96"/>
      <c r="AO404" s="96"/>
      <c r="AP404" s="96"/>
      <c r="AQ404" s="96"/>
      <c r="AR404" s="96"/>
      <c r="AS404" s="96"/>
      <c r="AT404" s="96"/>
      <c r="AU404" s="96"/>
      <c r="AV404" s="96"/>
      <c r="AW404" s="96"/>
      <c r="AX404" s="96"/>
      <c r="AY404" s="96"/>
      <c r="AZ404" s="96"/>
      <c r="BA404" s="96"/>
      <c r="BB404" s="96"/>
      <c r="BC404" s="96"/>
      <c r="BD404" s="96"/>
      <c r="BE404" s="96"/>
      <c r="BF404" s="96"/>
      <c r="BG404" s="96"/>
      <c r="BH404" s="96"/>
      <c r="BI404" s="96"/>
      <c r="BJ404" s="96"/>
      <c r="BK404" s="96"/>
      <c r="BL404" s="96"/>
      <c r="BM404" s="96"/>
      <c r="BN404" s="96"/>
      <c r="BO404" s="96"/>
      <c r="BP404" s="96"/>
      <c r="BQ404" s="96"/>
      <c r="BR404" s="96"/>
      <c r="BS404" s="96"/>
      <c r="BT404" s="96"/>
      <c r="BU404" s="96"/>
      <c r="BV404" s="96"/>
      <c r="BW404" s="96"/>
      <c r="BX404" s="96"/>
      <c r="BY404" s="96"/>
      <c r="BZ404" s="96"/>
      <c r="CA404" s="96"/>
      <c r="CB404" s="96"/>
      <c r="CC404" s="96"/>
      <c r="CD404" s="96"/>
      <c r="CE404" s="96"/>
      <c r="CF404" s="96"/>
      <c r="CG404" s="96"/>
      <c r="CH404" s="96"/>
      <c r="CI404" s="96"/>
      <c r="CJ404" s="96"/>
      <c r="CK404" s="96"/>
      <c r="CL404" s="96"/>
      <c r="CM404" s="96"/>
      <c r="CN404" s="96"/>
      <c r="CO404" s="96"/>
      <c r="CP404" s="96"/>
      <c r="CQ404" s="96"/>
      <c r="CR404" s="96"/>
      <c r="CS404" s="96"/>
      <c r="CT404" s="96"/>
      <c r="CU404" s="96"/>
      <c r="CV404" s="96"/>
      <c r="CW404" s="96"/>
      <c r="CX404" s="96"/>
      <c r="CY404" s="96"/>
      <c r="CZ404" s="96"/>
      <c r="DA404" s="96"/>
      <c r="DB404" s="96"/>
      <c r="DC404" s="96"/>
      <c r="DD404" s="96"/>
      <c r="DE404" s="96"/>
      <c r="DF404" s="96"/>
      <c r="DG404" s="96"/>
      <c r="DH404" s="96"/>
      <c r="DI404" s="96"/>
      <c r="DJ404" s="96"/>
      <c r="DK404" s="96"/>
      <c r="DL404" s="96"/>
      <c r="DM404" s="96"/>
      <c r="DN404" s="96"/>
      <c r="DO404" s="96"/>
      <c r="DP404" s="96"/>
      <c r="DQ404" s="96"/>
      <c r="DR404" s="96"/>
      <c r="DS404" s="96"/>
      <c r="DT404" s="96"/>
      <c r="DU404" s="96"/>
      <c r="DV404" s="96"/>
      <c r="DW404" s="96"/>
      <c r="DX404" s="96"/>
      <c r="DY404" s="96"/>
      <c r="DZ404" s="96"/>
      <c r="EA404" s="96"/>
      <c r="EB404" s="96"/>
      <c r="EC404" s="96"/>
      <c r="ED404" s="96"/>
      <c r="EE404" s="96"/>
      <c r="EF404" s="96"/>
      <c r="EG404" s="96"/>
      <c r="EH404" s="96"/>
      <c r="EI404" s="96"/>
      <c r="EJ404" s="96"/>
      <c r="EK404" s="96"/>
      <c r="EL404" s="96"/>
      <c r="EM404" s="96"/>
      <c r="EN404" s="96"/>
      <c r="EO404" s="96"/>
      <c r="EP404" s="96"/>
      <c r="EQ404" s="96"/>
      <c r="ER404" s="96"/>
    </row>
    <row r="405" spans="2:148" s="84" customFormat="1" ht="11.25" customHeight="1">
      <c r="B405" s="85"/>
      <c r="C405" s="86" t="s">
        <v>130</v>
      </c>
      <c r="D405" s="86"/>
      <c r="E405" s="86"/>
      <c r="F405" s="86"/>
      <c r="G405" s="97"/>
      <c r="H405" s="217" t="s">
        <v>131</v>
      </c>
      <c r="I405" s="217"/>
      <c r="J405" s="217"/>
      <c r="K405" s="86"/>
      <c r="L405" s="218"/>
      <c r="M405" s="218"/>
      <c r="N405" s="218"/>
      <c r="O405" s="86"/>
      <c r="P405" s="89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  <c r="BI405" s="90"/>
      <c r="BJ405" s="90"/>
      <c r="BK405" s="90"/>
      <c r="BL405" s="90"/>
      <c r="BM405" s="90"/>
      <c r="BN405" s="90"/>
      <c r="BO405" s="90"/>
      <c r="BP405" s="90"/>
      <c r="BQ405" s="90"/>
      <c r="BR405" s="90"/>
      <c r="BS405" s="90"/>
      <c r="BT405" s="90"/>
      <c r="BU405" s="90"/>
      <c r="BV405" s="90"/>
      <c r="BW405" s="90"/>
      <c r="BX405" s="90"/>
      <c r="BY405" s="90"/>
      <c r="BZ405" s="90"/>
      <c r="CA405" s="90"/>
      <c r="CB405" s="90"/>
      <c r="CC405" s="90"/>
      <c r="CD405" s="90"/>
      <c r="CE405" s="90"/>
      <c r="CF405" s="90"/>
      <c r="CG405" s="90"/>
      <c r="CH405" s="90"/>
      <c r="CI405" s="90"/>
      <c r="CJ405" s="90"/>
      <c r="CK405" s="90"/>
      <c r="CL405" s="90"/>
      <c r="CM405" s="90"/>
      <c r="CN405" s="90"/>
      <c r="CO405" s="90"/>
      <c r="CP405" s="90"/>
      <c r="CQ405" s="90"/>
      <c r="CR405" s="90"/>
      <c r="CS405" s="90"/>
      <c r="CT405" s="90"/>
      <c r="CU405" s="90"/>
      <c r="CV405" s="90"/>
      <c r="CW405" s="90"/>
      <c r="CX405" s="90"/>
      <c r="CY405" s="90"/>
      <c r="CZ405" s="90"/>
      <c r="DA405" s="90"/>
      <c r="DB405" s="90"/>
      <c r="DC405" s="90"/>
      <c r="DD405" s="90"/>
      <c r="DE405" s="90"/>
      <c r="DF405" s="90"/>
      <c r="DG405" s="90"/>
      <c r="DH405" s="90"/>
      <c r="DI405" s="90"/>
      <c r="DJ405" s="90"/>
      <c r="DK405" s="90"/>
      <c r="DL405" s="90"/>
      <c r="DM405" s="90"/>
      <c r="DN405" s="90"/>
      <c r="DO405" s="90"/>
      <c r="DP405" s="90"/>
      <c r="DQ405" s="90"/>
      <c r="DR405" s="90"/>
      <c r="DS405" s="90"/>
      <c r="DT405" s="90"/>
      <c r="DU405" s="90"/>
      <c r="DV405" s="90"/>
      <c r="DW405" s="90"/>
      <c r="DX405" s="90"/>
      <c r="DY405" s="90"/>
      <c r="DZ405" s="90"/>
      <c r="EA405" s="90"/>
      <c r="EB405" s="90"/>
      <c r="EC405" s="90"/>
      <c r="ED405" s="90"/>
      <c r="EE405" s="90"/>
      <c r="EF405" s="90"/>
      <c r="EG405" s="90"/>
      <c r="EH405" s="90"/>
      <c r="EI405" s="90"/>
      <c r="EJ405" s="90"/>
      <c r="EK405" s="90"/>
      <c r="EL405" s="90"/>
      <c r="EM405" s="90"/>
      <c r="EN405" s="90"/>
      <c r="EO405" s="90"/>
      <c r="EP405" s="90"/>
      <c r="EQ405" s="90"/>
      <c r="ER405" s="90"/>
    </row>
    <row r="406" spans="2:148" s="91" customFormat="1" ht="24" customHeight="1">
      <c r="B406" s="92"/>
      <c r="C406" s="219">
        <f>IF(M3="","",IF(INDEX(участники!$A$102:$M$962,$M$3+19-100,7)="","",INDEX(участники!$A$102:$M$962,$M$3+19-100,7)))</f>
      </c>
      <c r="D406" s="220"/>
      <c r="E406" s="220"/>
      <c r="F406" s="220"/>
      <c r="G406" s="93"/>
      <c r="H406" s="216">
        <f>IF(M3="","",IF(INDEX(участники!$A$102:$M$962,$M$3+19-100,9)="","",INDEX(участники!$A$102:$M$962,$M$3+19-100,9)))</f>
      </c>
      <c r="I406" s="216"/>
      <c r="J406" s="216"/>
      <c r="K406" s="216"/>
      <c r="L406" s="216"/>
      <c r="M406" s="216"/>
      <c r="N406" s="216"/>
      <c r="O406" s="94"/>
      <c r="P406" s="95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  <c r="AC406" s="96"/>
      <c r="AD406" s="96"/>
      <c r="AE406" s="96"/>
      <c r="AF406" s="96"/>
      <c r="AG406" s="96"/>
      <c r="AH406" s="96"/>
      <c r="AI406" s="96"/>
      <c r="AJ406" s="96"/>
      <c r="AK406" s="96"/>
      <c r="AL406" s="96"/>
      <c r="AM406" s="96"/>
      <c r="AN406" s="96"/>
      <c r="AO406" s="96"/>
      <c r="AP406" s="96"/>
      <c r="AQ406" s="96"/>
      <c r="AR406" s="96"/>
      <c r="AS406" s="96"/>
      <c r="AT406" s="96"/>
      <c r="AU406" s="96"/>
      <c r="AV406" s="96"/>
      <c r="AW406" s="96"/>
      <c r="AX406" s="96"/>
      <c r="AY406" s="96"/>
      <c r="AZ406" s="96"/>
      <c r="BA406" s="96"/>
      <c r="BB406" s="96"/>
      <c r="BC406" s="96"/>
      <c r="BD406" s="96"/>
      <c r="BE406" s="96"/>
      <c r="BF406" s="96"/>
      <c r="BG406" s="96"/>
      <c r="BH406" s="96"/>
      <c r="BI406" s="96"/>
      <c r="BJ406" s="96"/>
      <c r="BK406" s="96"/>
      <c r="BL406" s="96"/>
      <c r="BM406" s="96"/>
      <c r="BN406" s="96"/>
      <c r="BO406" s="96"/>
      <c r="BP406" s="96"/>
      <c r="BQ406" s="96"/>
      <c r="BR406" s="96"/>
      <c r="BS406" s="96"/>
      <c r="BT406" s="96"/>
      <c r="BU406" s="96"/>
      <c r="BV406" s="96"/>
      <c r="BW406" s="96"/>
      <c r="BX406" s="96"/>
      <c r="BY406" s="96"/>
      <c r="BZ406" s="96"/>
      <c r="CA406" s="96"/>
      <c r="CB406" s="96"/>
      <c r="CC406" s="96"/>
      <c r="CD406" s="96"/>
      <c r="CE406" s="96"/>
      <c r="CF406" s="96"/>
      <c r="CG406" s="96"/>
      <c r="CH406" s="96"/>
      <c r="CI406" s="96"/>
      <c r="CJ406" s="96"/>
      <c r="CK406" s="96"/>
      <c r="CL406" s="96"/>
      <c r="CM406" s="96"/>
      <c r="CN406" s="96"/>
      <c r="CO406" s="96"/>
      <c r="CP406" s="96"/>
      <c r="CQ406" s="96"/>
      <c r="CR406" s="96"/>
      <c r="CS406" s="96"/>
      <c r="CT406" s="96"/>
      <c r="CU406" s="96"/>
      <c r="CV406" s="96"/>
      <c r="CW406" s="96"/>
      <c r="CX406" s="96"/>
      <c r="CY406" s="96"/>
      <c r="CZ406" s="96"/>
      <c r="DA406" s="96"/>
      <c r="DB406" s="96"/>
      <c r="DC406" s="96"/>
      <c r="DD406" s="96"/>
      <c r="DE406" s="96"/>
      <c r="DF406" s="96"/>
      <c r="DG406" s="96"/>
      <c r="DH406" s="96"/>
      <c r="DI406" s="96"/>
      <c r="DJ406" s="96"/>
      <c r="DK406" s="96"/>
      <c r="DL406" s="96"/>
      <c r="DM406" s="96"/>
      <c r="DN406" s="96"/>
      <c r="DO406" s="96"/>
      <c r="DP406" s="96"/>
      <c r="DQ406" s="96"/>
      <c r="DR406" s="96"/>
      <c r="DS406" s="96"/>
      <c r="DT406" s="96"/>
      <c r="DU406" s="96"/>
      <c r="DV406" s="96"/>
      <c r="DW406" s="96"/>
      <c r="DX406" s="96"/>
      <c r="DY406" s="96"/>
      <c r="DZ406" s="96"/>
      <c r="EA406" s="96"/>
      <c r="EB406" s="96"/>
      <c r="EC406" s="96"/>
      <c r="ED406" s="96"/>
      <c r="EE406" s="96"/>
      <c r="EF406" s="96"/>
      <c r="EG406" s="96"/>
      <c r="EH406" s="96"/>
      <c r="EI406" s="96"/>
      <c r="EJ406" s="96"/>
      <c r="EK406" s="96"/>
      <c r="EL406" s="96"/>
      <c r="EM406" s="96"/>
      <c r="EN406" s="96"/>
      <c r="EO406" s="96"/>
      <c r="EP406" s="96"/>
      <c r="EQ406" s="96"/>
      <c r="ER406" s="96"/>
    </row>
    <row r="407" spans="2:148" s="84" customFormat="1" ht="9.75" customHeight="1">
      <c r="B407" s="85"/>
      <c r="C407" s="86" t="s">
        <v>132</v>
      </c>
      <c r="D407" s="86"/>
      <c r="E407" s="86"/>
      <c r="F407" s="86"/>
      <c r="G407" s="86"/>
      <c r="H407" s="217" t="s">
        <v>133</v>
      </c>
      <c r="I407" s="217"/>
      <c r="J407" s="217"/>
      <c r="K407" s="217"/>
      <c r="L407" s="217"/>
      <c r="M407" s="217"/>
      <c r="N407" s="86"/>
      <c r="O407" s="86"/>
      <c r="P407" s="89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  <c r="BZ407" s="90"/>
      <c r="CA407" s="90"/>
      <c r="CB407" s="90"/>
      <c r="CC407" s="90"/>
      <c r="CD407" s="90"/>
      <c r="CE407" s="90"/>
      <c r="CF407" s="90"/>
      <c r="CG407" s="90"/>
      <c r="CH407" s="90"/>
      <c r="CI407" s="90"/>
      <c r="CJ407" s="90"/>
      <c r="CK407" s="90"/>
      <c r="CL407" s="90"/>
      <c r="CM407" s="90"/>
      <c r="CN407" s="90"/>
      <c r="CO407" s="90"/>
      <c r="CP407" s="90"/>
      <c r="CQ407" s="90"/>
      <c r="CR407" s="90"/>
      <c r="CS407" s="90"/>
      <c r="CT407" s="90"/>
      <c r="CU407" s="90"/>
      <c r="CV407" s="90"/>
      <c r="CW407" s="90"/>
      <c r="CX407" s="90"/>
      <c r="CY407" s="90"/>
      <c r="CZ407" s="90"/>
      <c r="DA407" s="90"/>
      <c r="DB407" s="90"/>
      <c r="DC407" s="90"/>
      <c r="DD407" s="90"/>
      <c r="DE407" s="90"/>
      <c r="DF407" s="90"/>
      <c r="DG407" s="90"/>
      <c r="DH407" s="90"/>
      <c r="DI407" s="90"/>
      <c r="DJ407" s="90"/>
      <c r="DK407" s="90"/>
      <c r="DL407" s="90"/>
      <c r="DM407" s="90"/>
      <c r="DN407" s="90"/>
      <c r="DO407" s="90"/>
      <c r="DP407" s="90"/>
      <c r="DQ407" s="90"/>
      <c r="DR407" s="90"/>
      <c r="DS407" s="90"/>
      <c r="DT407" s="90"/>
      <c r="DU407" s="90"/>
      <c r="DV407" s="90"/>
      <c r="DW407" s="90"/>
      <c r="DX407" s="90"/>
      <c r="DY407" s="90"/>
      <c r="DZ407" s="90"/>
      <c r="EA407" s="90"/>
      <c r="EB407" s="90"/>
      <c r="EC407" s="90"/>
      <c r="ED407" s="90"/>
      <c r="EE407" s="90"/>
      <c r="EF407" s="90"/>
      <c r="EG407" s="90"/>
      <c r="EH407" s="90"/>
      <c r="EI407" s="90"/>
      <c r="EJ407" s="90"/>
      <c r="EK407" s="90"/>
      <c r="EL407" s="90"/>
      <c r="EM407" s="90"/>
      <c r="EN407" s="90"/>
      <c r="EO407" s="90"/>
      <c r="EP407" s="90"/>
      <c r="EQ407" s="90"/>
      <c r="ER407" s="90"/>
    </row>
    <row r="408" spans="2:148" s="84" customFormat="1" ht="9.75" customHeight="1">
      <c r="B408" s="85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9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  <c r="BI408" s="90"/>
      <c r="BJ408" s="90"/>
      <c r="BK408" s="90"/>
      <c r="BL408" s="90"/>
      <c r="BM408" s="90"/>
      <c r="BN408" s="90"/>
      <c r="BO408" s="90"/>
      <c r="BP408" s="90"/>
      <c r="BQ408" s="90"/>
      <c r="BR408" s="90"/>
      <c r="BS408" s="90"/>
      <c r="BT408" s="90"/>
      <c r="BU408" s="90"/>
      <c r="BV408" s="90"/>
      <c r="BW408" s="90"/>
      <c r="BX408" s="90"/>
      <c r="BY408" s="90"/>
      <c r="BZ408" s="90"/>
      <c r="CA408" s="90"/>
      <c r="CB408" s="90"/>
      <c r="CC408" s="90"/>
      <c r="CD408" s="90"/>
      <c r="CE408" s="90"/>
      <c r="CF408" s="90"/>
      <c r="CG408" s="90"/>
      <c r="CH408" s="90"/>
      <c r="CI408" s="90"/>
      <c r="CJ408" s="90"/>
      <c r="CK408" s="90"/>
      <c r="CL408" s="90"/>
      <c r="CM408" s="90"/>
      <c r="CN408" s="90"/>
      <c r="CO408" s="90"/>
      <c r="CP408" s="90"/>
      <c r="CQ408" s="90"/>
      <c r="CR408" s="90"/>
      <c r="CS408" s="90"/>
      <c r="CT408" s="90"/>
      <c r="CU408" s="90"/>
      <c r="CV408" s="90"/>
      <c r="CW408" s="90"/>
      <c r="CX408" s="90"/>
      <c r="CY408" s="90"/>
      <c r="CZ408" s="90"/>
      <c r="DA408" s="90"/>
      <c r="DB408" s="90"/>
      <c r="DC408" s="90"/>
      <c r="DD408" s="90"/>
      <c r="DE408" s="90"/>
      <c r="DF408" s="90"/>
      <c r="DG408" s="90"/>
      <c r="DH408" s="90"/>
      <c r="DI408" s="90"/>
      <c r="DJ408" s="90"/>
      <c r="DK408" s="90"/>
      <c r="DL408" s="90"/>
      <c r="DM408" s="90"/>
      <c r="DN408" s="90"/>
      <c r="DO408" s="90"/>
      <c r="DP408" s="90"/>
      <c r="DQ408" s="90"/>
      <c r="DR408" s="90"/>
      <c r="DS408" s="90"/>
      <c r="DT408" s="90"/>
      <c r="DU408" s="90"/>
      <c r="DV408" s="90"/>
      <c r="DW408" s="90"/>
      <c r="DX408" s="90"/>
      <c r="DY408" s="90"/>
      <c r="DZ408" s="90"/>
      <c r="EA408" s="90"/>
      <c r="EB408" s="90"/>
      <c r="EC408" s="90"/>
      <c r="ED408" s="90"/>
      <c r="EE408" s="90"/>
      <c r="EF408" s="90"/>
      <c r="EG408" s="90"/>
      <c r="EH408" s="90"/>
      <c r="EI408" s="90"/>
      <c r="EJ408" s="90"/>
      <c r="EK408" s="90"/>
      <c r="EL408" s="90"/>
      <c r="EM408" s="90"/>
      <c r="EN408" s="90"/>
      <c r="EO408" s="90"/>
      <c r="EP408" s="90"/>
      <c r="EQ408" s="90"/>
      <c r="ER408" s="90"/>
    </row>
    <row r="409" spans="2:16" ht="26.25" customHeight="1">
      <c r="B409" s="64"/>
      <c r="C409" s="214">
        <f>IF(M3="","",IF(INDEX(участники!$A$102:$M$962,$M$3+19-100,10)="","",INDEX(участники!$A$102:$M$962,$M$3+19-100,10)))</f>
      </c>
      <c r="D409" s="215"/>
      <c r="E409" s="215"/>
      <c r="F409" s="215"/>
      <c r="G409" s="215"/>
      <c r="H409" s="215"/>
      <c r="I409" s="215"/>
      <c r="J409" s="215"/>
      <c r="K409" s="65"/>
      <c r="L409" s="132">
        <f>IF(M3="","",IF(INDEX(участники!$A$102:$M$962,$M$3+19-100,11)="","",INDEX(участники!$A$102:$M$962,$M$3+19-100,11)))</f>
      </c>
      <c r="M409" s="98"/>
      <c r="N409" s="132">
        <f>IF(M3="","",IF(INDEX(участники!$A$102:$M$962,$M$3+19-100,12)="","",INDEX(участники!$A$102:$M$962,$M$3+19-100,12)))</f>
      </c>
      <c r="O409" s="65"/>
      <c r="P409" s="67"/>
    </row>
    <row r="410" spans="2:148" s="84" customFormat="1" ht="14.25" customHeight="1">
      <c r="B410" s="85"/>
      <c r="C410" s="86" t="s">
        <v>134</v>
      </c>
      <c r="D410" s="86"/>
      <c r="E410" s="86"/>
      <c r="F410" s="86"/>
      <c r="G410" s="86"/>
      <c r="H410" s="86"/>
      <c r="I410" s="86"/>
      <c r="J410" s="218"/>
      <c r="K410" s="218"/>
      <c r="L410" s="87" t="s">
        <v>135</v>
      </c>
      <c r="M410" s="99"/>
      <c r="N410" s="133" t="s">
        <v>136</v>
      </c>
      <c r="O410" s="86"/>
      <c r="P410" s="89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  <c r="BZ410" s="90"/>
      <c r="CA410" s="90"/>
      <c r="CB410" s="90"/>
      <c r="CC410" s="90"/>
      <c r="CD410" s="90"/>
      <c r="CE410" s="90"/>
      <c r="CF410" s="90"/>
      <c r="CG410" s="90"/>
      <c r="CH410" s="90"/>
      <c r="CI410" s="90"/>
      <c r="CJ410" s="90"/>
      <c r="CK410" s="90"/>
      <c r="CL410" s="90"/>
      <c r="CM410" s="90"/>
      <c r="CN410" s="90"/>
      <c r="CO410" s="90"/>
      <c r="CP410" s="90"/>
      <c r="CQ410" s="90"/>
      <c r="CR410" s="90"/>
      <c r="CS410" s="90"/>
      <c r="CT410" s="90"/>
      <c r="CU410" s="90"/>
      <c r="CV410" s="90"/>
      <c r="CW410" s="90"/>
      <c r="CX410" s="90"/>
      <c r="CY410" s="90"/>
      <c r="CZ410" s="90"/>
      <c r="DA410" s="90"/>
      <c r="DB410" s="90"/>
      <c r="DC410" s="90"/>
      <c r="DD410" s="90"/>
      <c r="DE410" s="90"/>
      <c r="DF410" s="90"/>
      <c r="DG410" s="90"/>
      <c r="DH410" s="90"/>
      <c r="DI410" s="90"/>
      <c r="DJ410" s="90"/>
      <c r="DK410" s="90"/>
      <c r="DL410" s="90"/>
      <c r="DM410" s="90"/>
      <c r="DN410" s="90"/>
      <c r="DO410" s="90"/>
      <c r="DP410" s="90"/>
      <c r="DQ410" s="90"/>
      <c r="DR410" s="90"/>
      <c r="DS410" s="90"/>
      <c r="DT410" s="90"/>
      <c r="DU410" s="90"/>
      <c r="DV410" s="90"/>
      <c r="DW410" s="90"/>
      <c r="DX410" s="90"/>
      <c r="DY410" s="90"/>
      <c r="DZ410" s="90"/>
      <c r="EA410" s="90"/>
      <c r="EB410" s="90"/>
      <c r="EC410" s="90"/>
      <c r="ED410" s="90"/>
      <c r="EE410" s="90"/>
      <c r="EF410" s="90"/>
      <c r="EG410" s="90"/>
      <c r="EH410" s="90"/>
      <c r="EI410" s="90"/>
      <c r="EJ410" s="90"/>
      <c r="EK410" s="90"/>
      <c r="EL410" s="90"/>
      <c r="EM410" s="90"/>
      <c r="EN410" s="90"/>
      <c r="EO410" s="90"/>
      <c r="EP410" s="90"/>
      <c r="EQ410" s="90"/>
      <c r="ER410" s="90"/>
    </row>
    <row r="411" spans="2:148" s="84" customFormat="1" ht="24.75" customHeight="1">
      <c r="B411" s="85"/>
      <c r="C411" s="86"/>
      <c r="D411" s="86"/>
      <c r="E411" s="86"/>
      <c r="F411" s="86"/>
      <c r="G411" s="86"/>
      <c r="H411" s="86"/>
      <c r="I411" s="86"/>
      <c r="J411" s="88"/>
      <c r="K411" s="88"/>
      <c r="L411" s="86"/>
      <c r="M411" s="88"/>
      <c r="N411" s="88"/>
      <c r="O411" s="86"/>
      <c r="P411" s="89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  <c r="BI411" s="90"/>
      <c r="BJ411" s="90"/>
      <c r="BK411" s="90"/>
      <c r="BL411" s="90"/>
      <c r="BM411" s="90"/>
      <c r="BN411" s="90"/>
      <c r="BO411" s="90"/>
      <c r="BP411" s="90"/>
      <c r="BQ411" s="90"/>
      <c r="BR411" s="90"/>
      <c r="BS411" s="90"/>
      <c r="BT411" s="90"/>
      <c r="BU411" s="90"/>
      <c r="BV411" s="90"/>
      <c r="BW411" s="90"/>
      <c r="BX411" s="90"/>
      <c r="BY411" s="90"/>
      <c r="BZ411" s="90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0"/>
      <c r="CU411" s="90"/>
      <c r="CV411" s="90"/>
      <c r="CW411" s="90"/>
      <c r="CX411" s="90"/>
      <c r="CY411" s="90"/>
      <c r="CZ411" s="90"/>
      <c r="DA411" s="90"/>
      <c r="DB411" s="90"/>
      <c r="DC411" s="90"/>
      <c r="DD411" s="90"/>
      <c r="DE411" s="90"/>
      <c r="DF411" s="90"/>
      <c r="DG411" s="90"/>
      <c r="DH411" s="90"/>
      <c r="DI411" s="90"/>
      <c r="DJ411" s="90"/>
      <c r="DK411" s="90"/>
      <c r="DL411" s="90"/>
      <c r="DM411" s="90"/>
      <c r="DN411" s="90"/>
      <c r="DO411" s="90"/>
      <c r="DP411" s="90"/>
      <c r="DQ411" s="90"/>
      <c r="DR411" s="90"/>
      <c r="DS411" s="90"/>
      <c r="DT411" s="90"/>
      <c r="DU411" s="90"/>
      <c r="DV411" s="90"/>
      <c r="DW411" s="90"/>
      <c r="DX411" s="90"/>
      <c r="DY411" s="90"/>
      <c r="DZ411" s="90"/>
      <c r="EA411" s="90"/>
      <c r="EB411" s="90"/>
      <c r="EC411" s="90"/>
      <c r="ED411" s="90"/>
      <c r="EE411" s="90"/>
      <c r="EF411" s="90"/>
      <c r="EG411" s="90"/>
      <c r="EH411" s="90"/>
      <c r="EI411" s="90"/>
      <c r="EJ411" s="90"/>
      <c r="EK411" s="90"/>
      <c r="EL411" s="90"/>
      <c r="EM411" s="90"/>
      <c r="EN411" s="90"/>
      <c r="EO411" s="90"/>
      <c r="EP411" s="90"/>
      <c r="EQ411" s="90"/>
      <c r="ER411" s="90"/>
    </row>
    <row r="412" spans="2:148" s="84" customFormat="1" ht="17.25" customHeight="1">
      <c r="B412" s="85"/>
      <c r="C412" s="100" t="s">
        <v>137</v>
      </c>
      <c r="D412" s="101"/>
      <c r="E412" s="102"/>
      <c r="F412" s="103" t="s">
        <v>138</v>
      </c>
      <c r="G412" s="102"/>
      <c r="H412" s="102"/>
      <c r="I412" s="104"/>
      <c r="J412" s="222" t="s">
        <v>139</v>
      </c>
      <c r="K412" s="223"/>
      <c r="L412" s="105" t="s">
        <v>140</v>
      </c>
      <c r="M412" s="105" t="s">
        <v>141</v>
      </c>
      <c r="N412" s="105" t="s">
        <v>142</v>
      </c>
      <c r="O412" s="86"/>
      <c r="P412" s="89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  <c r="BI412" s="90"/>
      <c r="BJ412" s="90"/>
      <c r="BK412" s="90"/>
      <c r="BL412" s="90"/>
      <c r="BM412" s="90"/>
      <c r="BN412" s="90"/>
      <c r="BO412" s="90"/>
      <c r="BP412" s="90"/>
      <c r="BQ412" s="90"/>
      <c r="BR412" s="90"/>
      <c r="BS412" s="90"/>
      <c r="BT412" s="90"/>
      <c r="BU412" s="90"/>
      <c r="BV412" s="90"/>
      <c r="BW412" s="90"/>
      <c r="BX412" s="90"/>
      <c r="BY412" s="90"/>
      <c r="BZ412" s="90"/>
      <c r="CA412" s="90"/>
      <c r="CB412" s="90"/>
      <c r="CC412" s="90"/>
      <c r="CD412" s="90"/>
      <c r="CE412" s="90"/>
      <c r="CF412" s="90"/>
      <c r="CG412" s="90"/>
      <c r="CH412" s="90"/>
      <c r="CI412" s="90"/>
      <c r="CJ412" s="90"/>
      <c r="CK412" s="90"/>
      <c r="CL412" s="90"/>
      <c r="CM412" s="90"/>
      <c r="CN412" s="90"/>
      <c r="CO412" s="90"/>
      <c r="CP412" s="90"/>
      <c r="CQ412" s="90"/>
      <c r="CR412" s="90"/>
      <c r="CS412" s="90"/>
      <c r="CT412" s="90"/>
      <c r="CU412" s="90"/>
      <c r="CV412" s="90"/>
      <c r="CW412" s="90"/>
      <c r="CX412" s="90"/>
      <c r="CY412" s="90"/>
      <c r="CZ412" s="90"/>
      <c r="DA412" s="90"/>
      <c r="DB412" s="90"/>
      <c r="DC412" s="90"/>
      <c r="DD412" s="90"/>
      <c r="DE412" s="90"/>
      <c r="DF412" s="90"/>
      <c r="DG412" s="90"/>
      <c r="DH412" s="90"/>
      <c r="DI412" s="90"/>
      <c r="DJ412" s="90"/>
      <c r="DK412" s="90"/>
      <c r="DL412" s="90"/>
      <c r="DM412" s="90"/>
      <c r="DN412" s="90"/>
      <c r="DO412" s="90"/>
      <c r="DP412" s="90"/>
      <c r="DQ412" s="90"/>
      <c r="DR412" s="90"/>
      <c r="DS412" s="90"/>
      <c r="DT412" s="90"/>
      <c r="DU412" s="90"/>
      <c r="DV412" s="90"/>
      <c r="DW412" s="90"/>
      <c r="DX412" s="90"/>
      <c r="DY412" s="90"/>
      <c r="DZ412" s="90"/>
      <c r="EA412" s="90"/>
      <c r="EB412" s="90"/>
      <c r="EC412" s="90"/>
      <c r="ED412" s="90"/>
      <c r="EE412" s="90"/>
      <c r="EF412" s="90"/>
      <c r="EG412" s="90"/>
      <c r="EH412" s="90"/>
      <c r="EI412" s="90"/>
      <c r="EJ412" s="90"/>
      <c r="EK412" s="90"/>
      <c r="EL412" s="90"/>
      <c r="EM412" s="90"/>
      <c r="EN412" s="90"/>
      <c r="EO412" s="90"/>
      <c r="EP412" s="90"/>
      <c r="EQ412" s="90"/>
      <c r="ER412" s="90"/>
    </row>
    <row r="413" spans="2:148" s="84" customFormat="1" ht="24.75" customHeight="1">
      <c r="B413" s="85"/>
      <c r="C413" s="106" t="s">
        <v>143</v>
      </c>
      <c r="D413" s="107"/>
      <c r="E413" s="108"/>
      <c r="F413" s="108"/>
      <c r="G413" s="108"/>
      <c r="H413" s="108"/>
      <c r="I413" s="107"/>
      <c r="J413" s="109"/>
      <c r="K413" s="107"/>
      <c r="L413" s="110"/>
      <c r="M413" s="110"/>
      <c r="N413" s="110"/>
      <c r="O413" s="86"/>
      <c r="P413" s="89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  <c r="BG413" s="90"/>
      <c r="BH413" s="90"/>
      <c r="BI413" s="90"/>
      <c r="BJ413" s="90"/>
      <c r="BK413" s="90"/>
      <c r="BL413" s="90"/>
      <c r="BM413" s="90"/>
      <c r="BN413" s="90"/>
      <c r="BO413" s="90"/>
      <c r="BP413" s="90"/>
      <c r="BQ413" s="90"/>
      <c r="BR413" s="90"/>
      <c r="BS413" s="90"/>
      <c r="BT413" s="90"/>
      <c r="BU413" s="90"/>
      <c r="BV413" s="90"/>
      <c r="BW413" s="90"/>
      <c r="BX413" s="90"/>
      <c r="BY413" s="90"/>
      <c r="BZ413" s="90"/>
      <c r="CA413" s="90"/>
      <c r="CB413" s="90"/>
      <c r="CC413" s="90"/>
      <c r="CD413" s="90"/>
      <c r="CE413" s="90"/>
      <c r="CF413" s="90"/>
      <c r="CG413" s="90"/>
      <c r="CH413" s="90"/>
      <c r="CI413" s="90"/>
      <c r="CJ413" s="90"/>
      <c r="CK413" s="90"/>
      <c r="CL413" s="90"/>
      <c r="CM413" s="90"/>
      <c r="CN413" s="90"/>
      <c r="CO413" s="90"/>
      <c r="CP413" s="90"/>
      <c r="CQ413" s="90"/>
      <c r="CR413" s="90"/>
      <c r="CS413" s="90"/>
      <c r="CT413" s="90"/>
      <c r="CU413" s="90"/>
      <c r="CV413" s="90"/>
      <c r="CW413" s="90"/>
      <c r="CX413" s="90"/>
      <c r="CY413" s="90"/>
      <c r="CZ413" s="90"/>
      <c r="DA413" s="90"/>
      <c r="DB413" s="90"/>
      <c r="DC413" s="90"/>
      <c r="DD413" s="90"/>
      <c r="DE413" s="90"/>
      <c r="DF413" s="90"/>
      <c r="DG413" s="90"/>
      <c r="DH413" s="90"/>
      <c r="DI413" s="90"/>
      <c r="DJ413" s="90"/>
      <c r="DK413" s="90"/>
      <c r="DL413" s="90"/>
      <c r="DM413" s="90"/>
      <c r="DN413" s="90"/>
      <c r="DO413" s="90"/>
      <c r="DP413" s="90"/>
      <c r="DQ413" s="90"/>
      <c r="DR413" s="90"/>
      <c r="DS413" s="90"/>
      <c r="DT413" s="90"/>
      <c r="DU413" s="90"/>
      <c r="DV413" s="90"/>
      <c r="DW413" s="90"/>
      <c r="DX413" s="90"/>
      <c r="DY413" s="90"/>
      <c r="DZ413" s="90"/>
      <c r="EA413" s="90"/>
      <c r="EB413" s="90"/>
      <c r="EC413" s="90"/>
      <c r="ED413" s="90"/>
      <c r="EE413" s="90"/>
      <c r="EF413" s="90"/>
      <c r="EG413" s="90"/>
      <c r="EH413" s="90"/>
      <c r="EI413" s="90"/>
      <c r="EJ413" s="90"/>
      <c r="EK413" s="90"/>
      <c r="EL413" s="90"/>
      <c r="EM413" s="90"/>
      <c r="EN413" s="90"/>
      <c r="EO413" s="90"/>
      <c r="EP413" s="90"/>
      <c r="EQ413" s="90"/>
      <c r="ER413" s="90"/>
    </row>
    <row r="414" spans="2:148" s="84" customFormat="1" ht="24.75" customHeight="1">
      <c r="B414" s="85"/>
      <c r="C414" s="106" t="s">
        <v>144</v>
      </c>
      <c r="D414" s="107"/>
      <c r="E414" s="108"/>
      <c r="F414" s="108"/>
      <c r="G414" s="108"/>
      <c r="H414" s="108"/>
      <c r="I414" s="107"/>
      <c r="J414" s="109"/>
      <c r="K414" s="107"/>
      <c r="L414" s="110"/>
      <c r="M414" s="110"/>
      <c r="N414" s="110"/>
      <c r="O414" s="86"/>
      <c r="P414" s="89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  <c r="BG414" s="90"/>
      <c r="BH414" s="90"/>
      <c r="BI414" s="90"/>
      <c r="BJ414" s="90"/>
      <c r="BK414" s="90"/>
      <c r="BL414" s="90"/>
      <c r="BM414" s="90"/>
      <c r="BN414" s="90"/>
      <c r="BO414" s="90"/>
      <c r="BP414" s="90"/>
      <c r="BQ414" s="90"/>
      <c r="BR414" s="90"/>
      <c r="BS414" s="90"/>
      <c r="BT414" s="90"/>
      <c r="BU414" s="90"/>
      <c r="BV414" s="90"/>
      <c r="BW414" s="90"/>
      <c r="BX414" s="90"/>
      <c r="BY414" s="90"/>
      <c r="BZ414" s="90"/>
      <c r="CA414" s="90"/>
      <c r="CB414" s="90"/>
      <c r="CC414" s="90"/>
      <c r="CD414" s="90"/>
      <c r="CE414" s="90"/>
      <c r="CF414" s="90"/>
      <c r="CG414" s="90"/>
      <c r="CH414" s="90"/>
      <c r="CI414" s="90"/>
      <c r="CJ414" s="90"/>
      <c r="CK414" s="90"/>
      <c r="CL414" s="90"/>
      <c r="CM414" s="90"/>
      <c r="CN414" s="90"/>
      <c r="CO414" s="90"/>
      <c r="CP414" s="90"/>
      <c r="CQ414" s="90"/>
      <c r="CR414" s="90"/>
      <c r="CS414" s="90"/>
      <c r="CT414" s="90"/>
      <c r="CU414" s="90"/>
      <c r="CV414" s="90"/>
      <c r="CW414" s="90"/>
      <c r="CX414" s="90"/>
      <c r="CY414" s="90"/>
      <c r="CZ414" s="90"/>
      <c r="DA414" s="90"/>
      <c r="DB414" s="90"/>
      <c r="DC414" s="90"/>
      <c r="DD414" s="90"/>
      <c r="DE414" s="90"/>
      <c r="DF414" s="90"/>
      <c r="DG414" s="90"/>
      <c r="DH414" s="90"/>
      <c r="DI414" s="90"/>
      <c r="DJ414" s="90"/>
      <c r="DK414" s="90"/>
      <c r="DL414" s="90"/>
      <c r="DM414" s="90"/>
      <c r="DN414" s="90"/>
      <c r="DO414" s="90"/>
      <c r="DP414" s="90"/>
      <c r="DQ414" s="90"/>
      <c r="DR414" s="90"/>
      <c r="DS414" s="90"/>
      <c r="DT414" s="90"/>
      <c r="DU414" s="90"/>
      <c r="DV414" s="90"/>
      <c r="DW414" s="90"/>
      <c r="DX414" s="90"/>
      <c r="DY414" s="90"/>
      <c r="DZ414" s="90"/>
      <c r="EA414" s="90"/>
      <c r="EB414" s="90"/>
      <c r="EC414" s="90"/>
      <c r="ED414" s="90"/>
      <c r="EE414" s="90"/>
      <c r="EF414" s="90"/>
      <c r="EG414" s="90"/>
      <c r="EH414" s="90"/>
      <c r="EI414" s="90"/>
      <c r="EJ414" s="90"/>
      <c r="EK414" s="90"/>
      <c r="EL414" s="90"/>
      <c r="EM414" s="90"/>
      <c r="EN414" s="90"/>
      <c r="EO414" s="90"/>
      <c r="EP414" s="90"/>
      <c r="EQ414" s="90"/>
      <c r="ER414" s="90"/>
    </row>
    <row r="415" spans="2:148" s="84" customFormat="1" ht="24.75" customHeight="1">
      <c r="B415" s="85"/>
      <c r="C415" s="111" t="s">
        <v>145</v>
      </c>
      <c r="D415" s="112"/>
      <c r="E415" s="113"/>
      <c r="F415" s="113"/>
      <c r="G415" s="113"/>
      <c r="H415" s="113"/>
      <c r="I415" s="112"/>
      <c r="J415" s="114"/>
      <c r="K415" s="112"/>
      <c r="L415" s="110"/>
      <c r="M415" s="110"/>
      <c r="N415" s="110"/>
      <c r="O415" s="86"/>
      <c r="P415" s="89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  <c r="BG415" s="90"/>
      <c r="BH415" s="90"/>
      <c r="BI415" s="90"/>
      <c r="BJ415" s="90"/>
      <c r="BK415" s="90"/>
      <c r="BL415" s="90"/>
      <c r="BM415" s="90"/>
      <c r="BN415" s="90"/>
      <c r="BO415" s="90"/>
      <c r="BP415" s="90"/>
      <c r="BQ415" s="90"/>
      <c r="BR415" s="90"/>
      <c r="BS415" s="90"/>
      <c r="BT415" s="90"/>
      <c r="BU415" s="90"/>
      <c r="BV415" s="90"/>
      <c r="BW415" s="90"/>
      <c r="BX415" s="90"/>
      <c r="BY415" s="90"/>
      <c r="BZ415" s="90"/>
      <c r="CA415" s="90"/>
      <c r="CB415" s="90"/>
      <c r="CC415" s="90"/>
      <c r="CD415" s="90"/>
      <c r="CE415" s="90"/>
      <c r="CF415" s="90"/>
      <c r="CG415" s="90"/>
      <c r="CH415" s="90"/>
      <c r="CI415" s="90"/>
      <c r="CJ415" s="90"/>
      <c r="CK415" s="90"/>
      <c r="CL415" s="90"/>
      <c r="CM415" s="90"/>
      <c r="CN415" s="90"/>
      <c r="CO415" s="90"/>
      <c r="CP415" s="90"/>
      <c r="CQ415" s="90"/>
      <c r="CR415" s="90"/>
      <c r="CS415" s="90"/>
      <c r="CT415" s="90"/>
      <c r="CU415" s="90"/>
      <c r="CV415" s="90"/>
      <c r="CW415" s="90"/>
      <c r="CX415" s="90"/>
      <c r="CY415" s="90"/>
      <c r="CZ415" s="90"/>
      <c r="DA415" s="90"/>
      <c r="DB415" s="90"/>
      <c r="DC415" s="90"/>
      <c r="DD415" s="90"/>
      <c r="DE415" s="90"/>
      <c r="DF415" s="90"/>
      <c r="DG415" s="90"/>
      <c r="DH415" s="90"/>
      <c r="DI415" s="90"/>
      <c r="DJ415" s="90"/>
      <c r="DK415" s="90"/>
      <c r="DL415" s="90"/>
      <c r="DM415" s="90"/>
      <c r="DN415" s="90"/>
      <c r="DO415" s="90"/>
      <c r="DP415" s="90"/>
      <c r="DQ415" s="90"/>
      <c r="DR415" s="90"/>
      <c r="DS415" s="90"/>
      <c r="DT415" s="90"/>
      <c r="DU415" s="90"/>
      <c r="DV415" s="90"/>
      <c r="DW415" s="90"/>
      <c r="DX415" s="90"/>
      <c r="DY415" s="90"/>
      <c r="DZ415" s="90"/>
      <c r="EA415" s="90"/>
      <c r="EB415" s="90"/>
      <c r="EC415" s="90"/>
      <c r="ED415" s="90"/>
      <c r="EE415" s="90"/>
      <c r="EF415" s="90"/>
      <c r="EG415" s="90"/>
      <c r="EH415" s="90"/>
      <c r="EI415" s="90"/>
      <c r="EJ415" s="90"/>
      <c r="EK415" s="90"/>
      <c r="EL415" s="90"/>
      <c r="EM415" s="90"/>
      <c r="EN415" s="90"/>
      <c r="EO415" s="90"/>
      <c r="EP415" s="90"/>
      <c r="EQ415" s="90"/>
      <c r="ER415" s="90"/>
    </row>
    <row r="416" spans="2:16" ht="12" customHeight="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7"/>
    </row>
  </sheetData>
  <sheetProtection password="CC63" sheet="1" objects="1" scenarios="1" selectLockedCells="1"/>
  <mergeCells count="421">
    <mergeCell ref="C18:J18"/>
    <mergeCell ref="H15:N15"/>
    <mergeCell ref="H16:M16"/>
    <mergeCell ref="L13:N13"/>
    <mergeCell ref="L14:N14"/>
    <mergeCell ref="H13:J13"/>
    <mergeCell ref="H14:J14"/>
    <mergeCell ref="C13:F13"/>
    <mergeCell ref="C15:F15"/>
    <mergeCell ref="J32:K32"/>
    <mergeCell ref="C10:D10"/>
    <mergeCell ref="F10:G10"/>
    <mergeCell ref="J10:K10"/>
    <mergeCell ref="C31:D31"/>
    <mergeCell ref="F31:G31"/>
    <mergeCell ref="J31:K31"/>
    <mergeCell ref="C32:D32"/>
    <mergeCell ref="F32:G32"/>
    <mergeCell ref="J19:K19"/>
    <mergeCell ref="N30:O30"/>
    <mergeCell ref="M3:N3"/>
    <mergeCell ref="N8:O8"/>
    <mergeCell ref="C9:D9"/>
    <mergeCell ref="F9:G9"/>
    <mergeCell ref="J9:K9"/>
    <mergeCell ref="J21:K21"/>
    <mergeCell ref="C11:H11"/>
    <mergeCell ref="J11:K11"/>
    <mergeCell ref="J12:K12"/>
    <mergeCell ref="C33:H33"/>
    <mergeCell ref="J33:K33"/>
    <mergeCell ref="J34:K34"/>
    <mergeCell ref="C35:F35"/>
    <mergeCell ref="H35:J35"/>
    <mergeCell ref="H38:M38"/>
    <mergeCell ref="C40:J40"/>
    <mergeCell ref="J41:K41"/>
    <mergeCell ref="J43:K43"/>
    <mergeCell ref="L35:N35"/>
    <mergeCell ref="H36:J36"/>
    <mergeCell ref="L36:N36"/>
    <mergeCell ref="C37:F37"/>
    <mergeCell ref="H37:N37"/>
    <mergeCell ref="J62:K62"/>
    <mergeCell ref="N49:O49"/>
    <mergeCell ref="C50:D50"/>
    <mergeCell ref="F50:G50"/>
    <mergeCell ref="J50:K50"/>
    <mergeCell ref="C51:D51"/>
    <mergeCell ref="F51:G51"/>
    <mergeCell ref="J51:K51"/>
    <mergeCell ref="J53:K53"/>
    <mergeCell ref="C54:F54"/>
    <mergeCell ref="H54:J54"/>
    <mergeCell ref="C52:H52"/>
    <mergeCell ref="J52:K52"/>
    <mergeCell ref="J60:K60"/>
    <mergeCell ref="L54:N54"/>
    <mergeCell ref="H55:J55"/>
    <mergeCell ref="L55:N55"/>
    <mergeCell ref="C56:F56"/>
    <mergeCell ref="H56:N56"/>
    <mergeCell ref="C76:F76"/>
    <mergeCell ref="H76:J76"/>
    <mergeCell ref="L76:N76"/>
    <mergeCell ref="H57:M57"/>
    <mergeCell ref="C59:J59"/>
    <mergeCell ref="N71:O71"/>
    <mergeCell ref="C72:D72"/>
    <mergeCell ref="F72:G72"/>
    <mergeCell ref="C73:D73"/>
    <mergeCell ref="F73:G73"/>
    <mergeCell ref="J73:K73"/>
    <mergeCell ref="J72:K72"/>
    <mergeCell ref="C74:H74"/>
    <mergeCell ref="J74:K74"/>
    <mergeCell ref="J75:K75"/>
    <mergeCell ref="C93:H93"/>
    <mergeCell ref="J93:K93"/>
    <mergeCell ref="H77:J77"/>
    <mergeCell ref="C81:J81"/>
    <mergeCell ref="J82:K82"/>
    <mergeCell ref="J84:K84"/>
    <mergeCell ref="C92:D92"/>
    <mergeCell ref="F92:G92"/>
    <mergeCell ref="J92:K92"/>
    <mergeCell ref="L77:N77"/>
    <mergeCell ref="C78:F78"/>
    <mergeCell ref="H78:N78"/>
    <mergeCell ref="H79:M79"/>
    <mergeCell ref="N90:O90"/>
    <mergeCell ref="C91:D91"/>
    <mergeCell ref="F91:G91"/>
    <mergeCell ref="J91:K91"/>
    <mergeCell ref="J113:K113"/>
    <mergeCell ref="J94:K94"/>
    <mergeCell ref="C95:F95"/>
    <mergeCell ref="H95:J95"/>
    <mergeCell ref="J101:K101"/>
    <mergeCell ref="J103:K103"/>
    <mergeCell ref="L95:N95"/>
    <mergeCell ref="H96:J96"/>
    <mergeCell ref="L96:N96"/>
    <mergeCell ref="C97:F97"/>
    <mergeCell ref="H97:N97"/>
    <mergeCell ref="C117:F117"/>
    <mergeCell ref="H117:J117"/>
    <mergeCell ref="L117:N117"/>
    <mergeCell ref="H98:M98"/>
    <mergeCell ref="C100:J100"/>
    <mergeCell ref="N112:O112"/>
    <mergeCell ref="C113:D113"/>
    <mergeCell ref="F113:G113"/>
    <mergeCell ref="C114:D114"/>
    <mergeCell ref="F114:G114"/>
    <mergeCell ref="J114:K114"/>
    <mergeCell ref="C115:H115"/>
    <mergeCell ref="J115:K115"/>
    <mergeCell ref="J116:K116"/>
    <mergeCell ref="C134:H134"/>
    <mergeCell ref="J134:K134"/>
    <mergeCell ref="H118:J118"/>
    <mergeCell ref="C122:J122"/>
    <mergeCell ref="J123:K123"/>
    <mergeCell ref="J125:K125"/>
    <mergeCell ref="C133:D133"/>
    <mergeCell ref="F133:G133"/>
    <mergeCell ref="J133:K133"/>
    <mergeCell ref="L118:N118"/>
    <mergeCell ref="C119:F119"/>
    <mergeCell ref="H119:N119"/>
    <mergeCell ref="H120:M120"/>
    <mergeCell ref="N131:O131"/>
    <mergeCell ref="C132:D132"/>
    <mergeCell ref="F132:G132"/>
    <mergeCell ref="J132:K132"/>
    <mergeCell ref="J154:K154"/>
    <mergeCell ref="J135:K135"/>
    <mergeCell ref="C136:F136"/>
    <mergeCell ref="H136:J136"/>
    <mergeCell ref="L136:N136"/>
    <mergeCell ref="H137:J137"/>
    <mergeCell ref="L137:N137"/>
    <mergeCell ref="C138:F138"/>
    <mergeCell ref="H138:N138"/>
    <mergeCell ref="C158:F158"/>
    <mergeCell ref="H158:J158"/>
    <mergeCell ref="L158:N158"/>
    <mergeCell ref="H139:M139"/>
    <mergeCell ref="C141:J141"/>
    <mergeCell ref="J142:K142"/>
    <mergeCell ref="J144:K144"/>
    <mergeCell ref="N153:O153"/>
    <mergeCell ref="C154:D154"/>
    <mergeCell ref="F154:G154"/>
    <mergeCell ref="C155:D155"/>
    <mergeCell ref="F155:G155"/>
    <mergeCell ref="J155:K155"/>
    <mergeCell ref="C156:H156"/>
    <mergeCell ref="J156:K156"/>
    <mergeCell ref="J157:K157"/>
    <mergeCell ref="C175:H175"/>
    <mergeCell ref="J175:K175"/>
    <mergeCell ref="H159:J159"/>
    <mergeCell ref="C163:J163"/>
    <mergeCell ref="J164:K164"/>
    <mergeCell ref="J166:K166"/>
    <mergeCell ref="C174:D174"/>
    <mergeCell ref="F174:G174"/>
    <mergeCell ref="J174:K174"/>
    <mergeCell ref="L159:N159"/>
    <mergeCell ref="C160:F160"/>
    <mergeCell ref="H160:N160"/>
    <mergeCell ref="H161:M161"/>
    <mergeCell ref="N172:O172"/>
    <mergeCell ref="C173:D173"/>
    <mergeCell ref="F173:G173"/>
    <mergeCell ref="J173:K173"/>
    <mergeCell ref="J195:K195"/>
    <mergeCell ref="J176:K176"/>
    <mergeCell ref="C177:F177"/>
    <mergeCell ref="H177:J177"/>
    <mergeCell ref="L177:N177"/>
    <mergeCell ref="H178:J178"/>
    <mergeCell ref="L178:N178"/>
    <mergeCell ref="C179:F179"/>
    <mergeCell ref="H179:N179"/>
    <mergeCell ref="C199:F199"/>
    <mergeCell ref="H199:J199"/>
    <mergeCell ref="L199:N199"/>
    <mergeCell ref="H180:M180"/>
    <mergeCell ref="C182:J182"/>
    <mergeCell ref="J183:K183"/>
    <mergeCell ref="J185:K185"/>
    <mergeCell ref="N194:O194"/>
    <mergeCell ref="C195:D195"/>
    <mergeCell ref="F195:G195"/>
    <mergeCell ref="C196:D196"/>
    <mergeCell ref="F196:G196"/>
    <mergeCell ref="J196:K196"/>
    <mergeCell ref="C197:H197"/>
    <mergeCell ref="J197:K197"/>
    <mergeCell ref="J198:K198"/>
    <mergeCell ref="C216:H216"/>
    <mergeCell ref="J216:K216"/>
    <mergeCell ref="H200:J200"/>
    <mergeCell ref="C204:J204"/>
    <mergeCell ref="J205:K205"/>
    <mergeCell ref="J207:K207"/>
    <mergeCell ref="C215:D215"/>
    <mergeCell ref="F215:G215"/>
    <mergeCell ref="J215:K215"/>
    <mergeCell ref="L200:N200"/>
    <mergeCell ref="C201:F201"/>
    <mergeCell ref="H201:N201"/>
    <mergeCell ref="H202:M202"/>
    <mergeCell ref="N213:O213"/>
    <mergeCell ref="C214:D214"/>
    <mergeCell ref="F214:G214"/>
    <mergeCell ref="J214:K214"/>
    <mergeCell ref="J236:K236"/>
    <mergeCell ref="J217:K217"/>
    <mergeCell ref="C218:F218"/>
    <mergeCell ref="H218:J218"/>
    <mergeCell ref="L218:N218"/>
    <mergeCell ref="H219:J219"/>
    <mergeCell ref="L219:N219"/>
    <mergeCell ref="C220:F220"/>
    <mergeCell ref="H220:N220"/>
    <mergeCell ref="C240:F240"/>
    <mergeCell ref="H240:J240"/>
    <mergeCell ref="L240:N240"/>
    <mergeCell ref="H221:M221"/>
    <mergeCell ref="C223:J223"/>
    <mergeCell ref="J224:K224"/>
    <mergeCell ref="J226:K226"/>
    <mergeCell ref="N235:O235"/>
    <mergeCell ref="C236:D236"/>
    <mergeCell ref="F236:G236"/>
    <mergeCell ref="C237:D237"/>
    <mergeCell ref="F237:G237"/>
    <mergeCell ref="J237:K237"/>
    <mergeCell ref="C238:H238"/>
    <mergeCell ref="J238:K238"/>
    <mergeCell ref="J239:K239"/>
    <mergeCell ref="C257:H257"/>
    <mergeCell ref="J257:K257"/>
    <mergeCell ref="H241:J241"/>
    <mergeCell ref="C245:J245"/>
    <mergeCell ref="J246:K246"/>
    <mergeCell ref="J248:K248"/>
    <mergeCell ref="C256:D256"/>
    <mergeCell ref="F256:G256"/>
    <mergeCell ref="J256:K256"/>
    <mergeCell ref="L241:N241"/>
    <mergeCell ref="C242:F242"/>
    <mergeCell ref="H242:N242"/>
    <mergeCell ref="H243:M243"/>
    <mergeCell ref="N254:O254"/>
    <mergeCell ref="C255:D255"/>
    <mergeCell ref="F255:G255"/>
    <mergeCell ref="J255:K255"/>
    <mergeCell ref="J277:K277"/>
    <mergeCell ref="J258:K258"/>
    <mergeCell ref="C259:F259"/>
    <mergeCell ref="H259:J259"/>
    <mergeCell ref="L259:N259"/>
    <mergeCell ref="H260:J260"/>
    <mergeCell ref="L260:N260"/>
    <mergeCell ref="C261:F261"/>
    <mergeCell ref="H261:N261"/>
    <mergeCell ref="C281:F281"/>
    <mergeCell ref="H281:J281"/>
    <mergeCell ref="L281:N281"/>
    <mergeCell ref="H262:M262"/>
    <mergeCell ref="C264:J264"/>
    <mergeCell ref="J265:K265"/>
    <mergeCell ref="J267:K267"/>
    <mergeCell ref="N276:O276"/>
    <mergeCell ref="C277:D277"/>
    <mergeCell ref="F277:G277"/>
    <mergeCell ref="C278:D278"/>
    <mergeCell ref="F278:G278"/>
    <mergeCell ref="J278:K278"/>
    <mergeCell ref="C279:H279"/>
    <mergeCell ref="J279:K279"/>
    <mergeCell ref="J280:K280"/>
    <mergeCell ref="C298:H298"/>
    <mergeCell ref="J298:K298"/>
    <mergeCell ref="H282:J282"/>
    <mergeCell ref="C286:J286"/>
    <mergeCell ref="J287:K287"/>
    <mergeCell ref="J289:K289"/>
    <mergeCell ref="C297:D297"/>
    <mergeCell ref="F297:G297"/>
    <mergeCell ref="J297:K297"/>
    <mergeCell ref="L282:N282"/>
    <mergeCell ref="C283:F283"/>
    <mergeCell ref="H283:N283"/>
    <mergeCell ref="H284:M284"/>
    <mergeCell ref="N295:O295"/>
    <mergeCell ref="C296:D296"/>
    <mergeCell ref="F296:G296"/>
    <mergeCell ref="J296:K296"/>
    <mergeCell ref="J318:K318"/>
    <mergeCell ref="J299:K299"/>
    <mergeCell ref="C300:F300"/>
    <mergeCell ref="H300:J300"/>
    <mergeCell ref="L300:N300"/>
    <mergeCell ref="H301:J301"/>
    <mergeCell ref="L301:N301"/>
    <mergeCell ref="C302:F302"/>
    <mergeCell ref="H302:N302"/>
    <mergeCell ref="C322:F322"/>
    <mergeCell ref="H322:J322"/>
    <mergeCell ref="L322:N322"/>
    <mergeCell ref="H303:M303"/>
    <mergeCell ref="C305:J305"/>
    <mergeCell ref="J306:K306"/>
    <mergeCell ref="J308:K308"/>
    <mergeCell ref="N317:O317"/>
    <mergeCell ref="C318:D318"/>
    <mergeCell ref="F318:G318"/>
    <mergeCell ref="C319:D319"/>
    <mergeCell ref="F319:G319"/>
    <mergeCell ref="J319:K319"/>
    <mergeCell ref="C320:H320"/>
    <mergeCell ref="J320:K320"/>
    <mergeCell ref="J321:K321"/>
    <mergeCell ref="C339:H339"/>
    <mergeCell ref="J339:K339"/>
    <mergeCell ref="H323:J323"/>
    <mergeCell ref="C327:J327"/>
    <mergeCell ref="J328:K328"/>
    <mergeCell ref="J330:K330"/>
    <mergeCell ref="C338:D338"/>
    <mergeCell ref="F338:G338"/>
    <mergeCell ref="J338:K338"/>
    <mergeCell ref="L323:N323"/>
    <mergeCell ref="C324:F324"/>
    <mergeCell ref="H324:N324"/>
    <mergeCell ref="H325:M325"/>
    <mergeCell ref="N336:O336"/>
    <mergeCell ref="C337:D337"/>
    <mergeCell ref="F337:G337"/>
    <mergeCell ref="J337:K337"/>
    <mergeCell ref="J359:K359"/>
    <mergeCell ref="J340:K340"/>
    <mergeCell ref="C341:F341"/>
    <mergeCell ref="H341:J341"/>
    <mergeCell ref="L341:N341"/>
    <mergeCell ref="H342:J342"/>
    <mergeCell ref="L342:N342"/>
    <mergeCell ref="C343:F343"/>
    <mergeCell ref="H343:N343"/>
    <mergeCell ref="C363:F363"/>
    <mergeCell ref="H363:J363"/>
    <mergeCell ref="L363:N363"/>
    <mergeCell ref="H344:M344"/>
    <mergeCell ref="C346:J346"/>
    <mergeCell ref="J347:K347"/>
    <mergeCell ref="J349:K349"/>
    <mergeCell ref="N358:O358"/>
    <mergeCell ref="C359:D359"/>
    <mergeCell ref="F359:G359"/>
    <mergeCell ref="C360:D360"/>
    <mergeCell ref="F360:G360"/>
    <mergeCell ref="J360:K360"/>
    <mergeCell ref="C361:H361"/>
    <mergeCell ref="J361:K361"/>
    <mergeCell ref="J362:K362"/>
    <mergeCell ref="J380:K380"/>
    <mergeCell ref="H364:J364"/>
    <mergeCell ref="L364:N364"/>
    <mergeCell ref="J369:K369"/>
    <mergeCell ref="J371:K371"/>
    <mergeCell ref="C365:F365"/>
    <mergeCell ref="H365:N365"/>
    <mergeCell ref="H366:M366"/>
    <mergeCell ref="C368:J368"/>
    <mergeCell ref="C384:F384"/>
    <mergeCell ref="H384:N384"/>
    <mergeCell ref="N377:O377"/>
    <mergeCell ref="C378:D378"/>
    <mergeCell ref="F378:G378"/>
    <mergeCell ref="J378:K378"/>
    <mergeCell ref="C379:D379"/>
    <mergeCell ref="F379:G379"/>
    <mergeCell ref="J379:K379"/>
    <mergeCell ref="C380:H380"/>
    <mergeCell ref="J381:K381"/>
    <mergeCell ref="C382:F382"/>
    <mergeCell ref="H382:J382"/>
    <mergeCell ref="L382:N382"/>
    <mergeCell ref="H383:J383"/>
    <mergeCell ref="L383:N383"/>
    <mergeCell ref="H385:M385"/>
    <mergeCell ref="C387:J387"/>
    <mergeCell ref="J388:K388"/>
    <mergeCell ref="J390:K390"/>
    <mergeCell ref="N399:O399"/>
    <mergeCell ref="C400:D400"/>
    <mergeCell ref="F400:G400"/>
    <mergeCell ref="J400:K400"/>
    <mergeCell ref="J410:K410"/>
    <mergeCell ref="J412:K412"/>
    <mergeCell ref="C401:D401"/>
    <mergeCell ref="F401:G401"/>
    <mergeCell ref="J401:K401"/>
    <mergeCell ref="C402:H402"/>
    <mergeCell ref="J402:K402"/>
    <mergeCell ref="J403:K403"/>
    <mergeCell ref="C404:F404"/>
    <mergeCell ref="H407:M407"/>
    <mergeCell ref="C409:J409"/>
    <mergeCell ref="H404:J404"/>
    <mergeCell ref="H405:J405"/>
    <mergeCell ref="L405:N405"/>
    <mergeCell ref="C406:F406"/>
    <mergeCell ref="H406:N406"/>
    <mergeCell ref="L404:N404"/>
  </mergeCells>
  <printOptions/>
  <pageMargins left="0.19" right="0.11811023622047245" top="0.28" bottom="0.29" header="0.1968503937007874" footer="0.15748031496062992"/>
  <pageSetup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Gimn6</dc:creator>
  <cp:keywords/>
  <dc:description/>
  <cp:lastModifiedBy>вв</cp:lastModifiedBy>
  <cp:lastPrinted>2016-06-16T06:48:09Z</cp:lastPrinted>
  <dcterms:created xsi:type="dcterms:W3CDTF">2011-06-07T06:07:10Z</dcterms:created>
  <dcterms:modified xsi:type="dcterms:W3CDTF">2017-03-01T10:36:15Z</dcterms:modified>
  <cp:category/>
  <cp:version/>
  <cp:contentType/>
  <cp:contentStatus/>
</cp:coreProperties>
</file>